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hb-cl3_sc_data3.co.health.qld.gov.au\DATA3\QCP\21. Integrated Private Practice\2. Draft versions\"/>
    </mc:Choice>
  </mc:AlternateContent>
  <xr:revisionPtr revIDLastSave="0" documentId="13_ncr:1_{E7ACEB51-318E-4746-862E-9612FE48EA4C}" xr6:coauthVersionLast="47" xr6:coauthVersionMax="47" xr10:uidLastSave="{00000000-0000-0000-0000-000000000000}"/>
  <bookViews>
    <workbookView xWindow="-120" yWindow="-120" windowWidth="38070" windowHeight="17280" xr2:uid="{FEC347B9-5857-4203-B459-D9D140F13C18}"/>
  </bookViews>
  <sheets>
    <sheet name="Start here" sheetId="8" r:id="rId1"/>
    <sheet name="Compare" sheetId="1" r:id="rId2"/>
    <sheet name="Practice Budget" sheetId="5" r:id="rId3"/>
    <sheet name="Doctor salary build" sheetId="3" r:id="rId4"/>
    <sheet name="Practice staff salary build" sheetId="7" r:id="rId5"/>
    <sheet name="PIP  WIP" sheetId="6" r:id="rId6"/>
    <sheet name="Avg BB fee"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E12" i="3"/>
  <c r="G12" i="3"/>
  <c r="H12" i="3"/>
  <c r="C12" i="3"/>
  <c r="G8" i="6"/>
  <c r="H8" i="6"/>
  <c r="I8" i="6"/>
  <c r="J8" i="6"/>
  <c r="F8" i="6"/>
  <c r="E8" i="2"/>
  <c r="F8" i="2"/>
  <c r="G8" i="2" s="1"/>
  <c r="D8" i="2"/>
  <c r="D20" i="5"/>
  <c r="G19" i="3"/>
  <c r="H19" i="3"/>
  <c r="D13" i="3"/>
  <c r="E13" i="3"/>
  <c r="F13" i="3"/>
  <c r="G13" i="3"/>
  <c r="H13" i="3"/>
  <c r="D14" i="3"/>
  <c r="E14" i="3"/>
  <c r="F14" i="3"/>
  <c r="G14" i="3"/>
  <c r="H14" i="3"/>
  <c r="D16" i="3"/>
  <c r="G16" i="3"/>
  <c r="H16" i="3"/>
  <c r="D17" i="3"/>
  <c r="E17" i="3"/>
  <c r="F17" i="3"/>
  <c r="G17" i="3"/>
  <c r="H17" i="3"/>
  <c r="D18" i="3"/>
  <c r="E18" i="3"/>
  <c r="F18" i="3"/>
  <c r="G18" i="3"/>
  <c r="H18" i="3"/>
  <c r="D19" i="3"/>
  <c r="C18" i="3"/>
  <c r="C17" i="3"/>
  <c r="C14" i="3"/>
  <c r="C13" i="3"/>
  <c r="D18" i="7"/>
  <c r="E18" i="7"/>
  <c r="C21" i="7"/>
  <c r="C18" i="7"/>
  <c r="V18" i="3" l="1"/>
  <c r="H11" i="3" l="1"/>
  <c r="D11" i="3"/>
  <c r="E11" i="3"/>
  <c r="F11" i="3"/>
  <c r="G11" i="3"/>
  <c r="C11" i="3"/>
  <c r="AR18" i="3"/>
  <c r="AS18" i="3"/>
  <c r="AK18" i="3"/>
  <c r="AL18" i="3"/>
  <c r="AM18" i="3"/>
  <c r="AN18" i="3"/>
  <c r="AO18" i="3"/>
  <c r="AP18" i="3"/>
  <c r="AQ18" i="3"/>
  <c r="W18" i="3"/>
  <c r="X18" i="3"/>
  <c r="Y18" i="3"/>
  <c r="Z18" i="3"/>
  <c r="AA18" i="3"/>
  <c r="AB18" i="3"/>
  <c r="AC18" i="3"/>
  <c r="AD18" i="3"/>
  <c r="AE18" i="3"/>
  <c r="AF18" i="3"/>
  <c r="AG18" i="3"/>
  <c r="AH18" i="3"/>
  <c r="AI18" i="3"/>
  <c r="AJ18" i="3"/>
  <c r="X17" i="3"/>
  <c r="Y17" i="3"/>
  <c r="Z17" i="3"/>
  <c r="AA17" i="3"/>
  <c r="AB17" i="3"/>
  <c r="AC17" i="3"/>
  <c r="AD17" i="3"/>
  <c r="AE17" i="3"/>
  <c r="AF17" i="3"/>
  <c r="AG17" i="3"/>
  <c r="AH17" i="3"/>
  <c r="AI17" i="3"/>
  <c r="AJ17" i="3"/>
  <c r="W17" i="3"/>
  <c r="V17" i="3"/>
  <c r="F19" i="3" l="1"/>
  <c r="F12" i="3"/>
  <c r="F16" i="3"/>
  <c r="E19" i="3"/>
  <c r="E16" i="3"/>
  <c r="E23" i="3"/>
  <c r="C16" i="3"/>
  <c r="E24" i="3"/>
  <c r="E25" i="3"/>
  <c r="G21" i="3"/>
  <c r="G25" i="3"/>
  <c r="G24" i="3"/>
  <c r="H21" i="3"/>
  <c r="H24" i="3"/>
  <c r="H25" i="3"/>
  <c r="C24" i="3"/>
  <c r="C25" i="3"/>
  <c r="F21" i="3"/>
  <c r="F24" i="3"/>
  <c r="F25" i="3"/>
  <c r="D21" i="3"/>
  <c r="D24" i="3"/>
  <c r="D25" i="3"/>
  <c r="D23" i="3"/>
  <c r="E21" i="3"/>
  <c r="C21" i="3"/>
  <c r="C19" i="3"/>
  <c r="F43" i="6"/>
  <c r="F44" i="6"/>
  <c r="F45" i="6"/>
  <c r="F46" i="6"/>
  <c r="F42" i="6"/>
  <c r="G12" i="6"/>
  <c r="H12" i="6"/>
  <c r="I12" i="6"/>
  <c r="J12" i="6"/>
  <c r="F12" i="6"/>
  <c r="G9" i="6"/>
  <c r="H9" i="6"/>
  <c r="I9" i="6"/>
  <c r="J9" i="6"/>
  <c r="F9" i="6"/>
  <c r="D28" i="1" l="1"/>
  <c r="C22" i="3"/>
  <c r="C27" i="1" s="1"/>
  <c r="G27" i="1" s="1"/>
  <c r="F22" i="3"/>
  <c r="F27" i="1" s="1"/>
  <c r="F23" i="3"/>
  <c r="F28" i="1" s="1"/>
  <c r="D22" i="3"/>
  <c r="D27" i="1" s="1"/>
  <c r="E22" i="3"/>
  <c r="E27" i="1" s="1"/>
  <c r="H23" i="3"/>
  <c r="H22" i="3"/>
  <c r="G23" i="3"/>
  <c r="G22" i="3"/>
  <c r="E28" i="1"/>
  <c r="C23" i="3"/>
  <c r="C28" i="1" s="1"/>
  <c r="G28" i="1" s="1"/>
  <c r="G10" i="5"/>
  <c r="G11" i="5"/>
  <c r="G12" i="5"/>
  <c r="F10" i="5"/>
  <c r="F11" i="5"/>
  <c r="F12" i="5"/>
  <c r="D10" i="5"/>
  <c r="E10" i="5"/>
  <c r="D11" i="5"/>
  <c r="E11" i="5"/>
  <c r="D12" i="5"/>
  <c r="E12" i="5"/>
  <c r="H19" i="7"/>
  <c r="D9" i="7"/>
  <c r="D14" i="7" s="1"/>
  <c r="E9" i="7"/>
  <c r="E14" i="7" s="1"/>
  <c r="F9" i="7"/>
  <c r="F14" i="7" s="1"/>
  <c r="G9" i="7"/>
  <c r="G15" i="7" s="1"/>
  <c r="C9" i="7"/>
  <c r="C14" i="7" s="1"/>
  <c r="D26" i="3" l="1"/>
  <c r="F26" i="3"/>
  <c r="H26" i="3"/>
  <c r="E26" i="3"/>
  <c r="G26" i="3"/>
  <c r="C26" i="3"/>
  <c r="H10" i="5"/>
  <c r="H11" i="5"/>
  <c r="H12" i="5"/>
  <c r="F16" i="7"/>
  <c r="F15" i="7"/>
  <c r="E16" i="7"/>
  <c r="E15" i="7"/>
  <c r="G16" i="7"/>
  <c r="G14" i="7"/>
  <c r="C15" i="7"/>
  <c r="D15" i="7"/>
  <c r="C16" i="7"/>
  <c r="D16" i="7"/>
  <c r="E17" i="7" l="1"/>
  <c r="E21" i="7" s="1"/>
  <c r="F17" i="7"/>
  <c r="G17" i="7"/>
  <c r="D17" i="7"/>
  <c r="D21" i="7" s="1"/>
  <c r="C17" i="7"/>
  <c r="D20" i="1"/>
  <c r="G21" i="7" l="1"/>
  <c r="G18" i="7"/>
  <c r="F21" i="7"/>
  <c r="D29" i="5" s="1"/>
  <c r="F18" i="7"/>
  <c r="D28" i="5"/>
  <c r="I15" i="6"/>
  <c r="I16" i="6" s="1"/>
  <c r="J15" i="6"/>
  <c r="J16" i="6" s="1"/>
  <c r="F15" i="6"/>
  <c r="F16" i="6" s="1"/>
  <c r="D19" i="5" s="1"/>
  <c r="G15" i="6"/>
  <c r="G16" i="6" s="1"/>
  <c r="H15" i="6"/>
  <c r="H16" i="6" s="1"/>
  <c r="H21" i="7" l="1"/>
  <c r="G18" i="1"/>
  <c r="D18" i="1"/>
  <c r="F18" i="1"/>
  <c r="E18" i="1" l="1"/>
  <c r="C14" i="1"/>
  <c r="D10" i="2"/>
  <c r="D16" i="2" s="1"/>
  <c r="E10" i="2"/>
  <c r="E20" i="2" s="1"/>
  <c r="F10" i="2"/>
  <c r="F20" i="2" s="1"/>
  <c r="G10" i="2"/>
  <c r="G20" i="2" s="1"/>
  <c r="C10" i="2"/>
  <c r="C19" i="2" s="1"/>
  <c r="E15" i="2" l="1"/>
  <c r="G18" i="2"/>
  <c r="G16" i="2"/>
  <c r="G15" i="2"/>
  <c r="E19" i="2"/>
  <c r="E17" i="2"/>
  <c r="C16" i="2"/>
  <c r="E18" i="2"/>
  <c r="E16" i="2"/>
  <c r="G19" i="2"/>
  <c r="G17" i="2"/>
  <c r="C15" i="1"/>
  <c r="C20" i="2"/>
  <c r="D20" i="2"/>
  <c r="F15" i="2"/>
  <c r="C17" i="2"/>
  <c r="F19" i="2"/>
  <c r="F18" i="2"/>
  <c r="F17" i="2"/>
  <c r="F16" i="2"/>
  <c r="C18" i="2"/>
  <c r="C15" i="2"/>
  <c r="D15" i="2"/>
  <c r="D19" i="2"/>
  <c r="D18" i="2"/>
  <c r="D17" i="2"/>
  <c r="E40" i="1" l="1"/>
  <c r="E43" i="1" s="1"/>
  <c r="E29" i="1"/>
  <c r="E34" i="1" s="1"/>
  <c r="G40" i="1"/>
  <c r="G29" i="1"/>
  <c r="F40" i="1"/>
  <c r="F29" i="1"/>
  <c r="F34" i="1" s="1"/>
  <c r="C40" i="1"/>
  <c r="C43" i="1" s="1"/>
  <c r="C29" i="1"/>
  <c r="C34" i="1" s="1"/>
  <c r="D29" i="1"/>
  <c r="D34" i="1" s="1"/>
  <c r="D40" i="1"/>
  <c r="C8" i="1" a="1"/>
  <c r="C8" i="1" s="1"/>
  <c r="E31" i="1" s="1"/>
  <c r="C37" i="1" l="1"/>
  <c r="G34" i="1"/>
  <c r="D8" i="5"/>
  <c r="D9" i="5"/>
  <c r="C11" i="1"/>
  <c r="G31" i="1" s="1"/>
  <c r="F31" i="1"/>
  <c r="F36" i="1" s="1"/>
  <c r="F42" i="1" l="1"/>
  <c r="F37" i="1"/>
  <c r="D13" i="5"/>
  <c r="F41" i="1"/>
  <c r="E35" i="1"/>
  <c r="F8" i="5" s="1"/>
  <c r="E9" i="5"/>
  <c r="D31" i="1"/>
  <c r="F43" i="1" l="1"/>
  <c r="D42" i="5"/>
  <c r="E8" i="5"/>
  <c r="D36" i="1"/>
  <c r="G9" i="5" s="1"/>
  <c r="D42" i="1"/>
  <c r="D41" i="1"/>
  <c r="G41" i="1"/>
  <c r="G36" i="1"/>
  <c r="E37" i="1"/>
  <c r="F9" i="5"/>
  <c r="F13" i="5" s="1"/>
  <c r="H9" i="5" l="1"/>
  <c r="D43" i="1"/>
  <c r="G8" i="5"/>
  <c r="G13" i="5" s="1"/>
  <c r="D37" i="1"/>
  <c r="G37" i="1"/>
  <c r="G42" i="1"/>
  <c r="G43" i="1" s="1"/>
  <c r="E13" i="5"/>
  <c r="D18" i="5" s="1"/>
  <c r="D23" i="5" s="1"/>
  <c r="H8" i="5" l="1"/>
  <c r="H13" i="5" s="1"/>
  <c r="D27" i="5" s="1"/>
  <c r="D38" i="5" s="1"/>
  <c r="D40" i="5" s="1"/>
  <c r="D4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<sst xmlns="http://schemas.openxmlformats.org/spreadsheetml/2006/main" count="313" uniqueCount="237">
  <si>
    <t>Standard benefit/consult</t>
  </si>
  <si>
    <t>Appointments/hr</t>
  </si>
  <si>
    <t>Location</t>
  </si>
  <si>
    <t>Monash Modified Model classification</t>
  </si>
  <si>
    <t>Avg rostered hospital hrs/wk</t>
  </si>
  <si>
    <t>Avg rostered Practice hrs/wk</t>
  </si>
  <si>
    <t>Cost to Employer</t>
  </si>
  <si>
    <t>Superannuation</t>
  </si>
  <si>
    <t>Employee value</t>
  </si>
  <si>
    <t>Overtime and recall</t>
  </si>
  <si>
    <t>Base</t>
  </si>
  <si>
    <t>Total remuneration (incl superannuation)</t>
  </si>
  <si>
    <t>Billing days per FTE medical practitioner</t>
  </si>
  <si>
    <t>Total Practice Earnings per FTE</t>
  </si>
  <si>
    <t>HHS Service/facility fee</t>
  </si>
  <si>
    <t>Medical labour and on-costs</t>
  </si>
  <si>
    <t>Medical cost to the HHS</t>
  </si>
  <si>
    <t>Income to Medical Practitioner</t>
  </si>
  <si>
    <t>Practice earnings</t>
  </si>
  <si>
    <t>Less Facility / Service fee</t>
  </si>
  <si>
    <t>Facility / service fee</t>
  </si>
  <si>
    <t>Gross remuneration for medical practitioner</t>
  </si>
  <si>
    <t>Net Medical cost to HHS</t>
  </si>
  <si>
    <t>SMO
Hospital only
$</t>
  </si>
  <si>
    <t>SMO 
(Fractionated 50%)
$</t>
  </si>
  <si>
    <t>SMO 
(Assigned)
$</t>
  </si>
  <si>
    <t>SMO
(Retained)
$</t>
  </si>
  <si>
    <t>A</t>
  </si>
  <si>
    <t>B</t>
  </si>
  <si>
    <t>C</t>
  </si>
  <si>
    <t>D</t>
  </si>
  <si>
    <t>E</t>
  </si>
  <si>
    <t>Average practice fee income per consultation</t>
  </si>
  <si>
    <t>Mixed practice standard consultation fee</t>
  </si>
  <si>
    <t>Comparison of Rural Medical Workforce Options</t>
  </si>
  <si>
    <t>Appointment duration</t>
  </si>
  <si>
    <t>MPPP
$</t>
  </si>
  <si>
    <t>Medical Practitioner</t>
  </si>
  <si>
    <t>MBS earnings</t>
  </si>
  <si>
    <t>Other income</t>
  </si>
  <si>
    <t>Practice Income</t>
  </si>
  <si>
    <t>Patient population (SWPE)</t>
  </si>
  <si>
    <t>Minimum hours for maximum incentive</t>
  </si>
  <si>
    <t>RN or allied health professional (max)</t>
  </si>
  <si>
    <t>EN or ATSI health worker of practitioner</t>
  </si>
  <si>
    <t>12 hours 40 minutes</t>
  </si>
  <si>
    <t>25 hours 20 minutes</t>
  </si>
  <si>
    <t>38 hours</t>
  </si>
  <si>
    <t>50 hours 40 minutes</t>
  </si>
  <si>
    <t>63 hours 20 minutes</t>
  </si>
  <si>
    <t>Modified Monash Model</t>
  </si>
  <si>
    <t>Rural Loading</t>
  </si>
  <si>
    <t>MM3</t>
  </si>
  <si>
    <t>MM4</t>
  </si>
  <si>
    <t>MM5</t>
  </si>
  <si>
    <t>MM6</t>
  </si>
  <si>
    <t>MM7</t>
  </si>
  <si>
    <t xml:space="preserve">www.health.gov.au/initiatives-and-programs/workforce-incentive-program/practice-stream/incentive-payments </t>
  </si>
  <si>
    <t>Practice location</t>
  </si>
  <si>
    <t>Indigenous Health Incentives</t>
  </si>
  <si>
    <t>Element</t>
  </si>
  <si>
    <t>Quality Improvement</t>
  </si>
  <si>
    <t>After hours</t>
  </si>
  <si>
    <t>Teaching</t>
  </si>
  <si>
    <t>eHealth</t>
  </si>
  <si>
    <t>Procedural General Practitioner</t>
  </si>
  <si>
    <t>Rate</t>
  </si>
  <si>
    <t>Description</t>
  </si>
  <si>
    <t>Per SWPE, capped at $12,000 per quarter</t>
  </si>
  <si>
    <t>Medical students, $200 per session, max 2 per day</t>
  </si>
  <si>
    <t>Per SWPE, capped at $12,500 per quarter</t>
  </si>
  <si>
    <t>Aged Care Access</t>
  </si>
  <si>
    <t>Payable to GP direct, 4 levels.</t>
  </si>
  <si>
    <t>Large rural - 3</t>
  </si>
  <si>
    <t>Small rural - 4</t>
  </si>
  <si>
    <t>Other rural - 5</t>
  </si>
  <si>
    <t>Remote centre - 6</t>
  </si>
  <si>
    <t>Other remote - 7</t>
  </si>
  <si>
    <t>Approx MM mapping</t>
  </si>
  <si>
    <t>RRMA 3-7 only, 4 tiers, payment up to $8,500 per half year</t>
  </si>
  <si>
    <t xml:space="preserve">www.servicesaustralia.gov.au/practice-incentives-program </t>
  </si>
  <si>
    <t>MM1</t>
  </si>
  <si>
    <t>MM2</t>
  </si>
  <si>
    <t>Capital - 1</t>
  </si>
  <si>
    <t>Other metro - 2</t>
  </si>
  <si>
    <t>www.health.gov.au/initiatives-and-programs/workforce-incentive-program/doctor-stream/payment-amounts</t>
  </si>
  <si>
    <t>Level 1 (1st year)</t>
  </si>
  <si>
    <t>Level 2 (1 to 2 years)</t>
  </si>
  <si>
    <t>Level 3 (2 to 3 years)</t>
  </si>
  <si>
    <t>Level 4 (4 to 5 years)</t>
  </si>
  <si>
    <t>Level 5 (5 or more years)</t>
  </si>
  <si>
    <t>Private General Practice Budget Model</t>
  </si>
  <si>
    <t>Total Practice Income</t>
  </si>
  <si>
    <t>Training Supervision fees</t>
  </si>
  <si>
    <t>Practice Running Costs</t>
  </si>
  <si>
    <t>Role</t>
  </si>
  <si>
    <t>Classification</t>
  </si>
  <si>
    <t>Registered Nurse</t>
  </si>
  <si>
    <t>Enrolled Nurse</t>
  </si>
  <si>
    <t>Practice Manager</t>
  </si>
  <si>
    <t>Receptionist</t>
  </si>
  <si>
    <t>FTE</t>
  </si>
  <si>
    <t>Total Cost</t>
  </si>
  <si>
    <t>Practice staffing costs</t>
  </si>
  <si>
    <t>Administrative labour</t>
  </si>
  <si>
    <t>Practice Nursing labour</t>
  </si>
  <si>
    <t>Clinical supplies and services</t>
  </si>
  <si>
    <t>Electricity and energy</t>
  </si>
  <si>
    <t>Equipment leasing and maintenance</t>
  </si>
  <si>
    <t>Property costs</t>
  </si>
  <si>
    <t>Drugs and vaccines</t>
  </si>
  <si>
    <t>Computer and IT expenses</t>
  </si>
  <si>
    <t>Connection, data storage, licences, equipment replacement</t>
  </si>
  <si>
    <t>Other costs</t>
  </si>
  <si>
    <t>See Practice staff build tab</t>
  </si>
  <si>
    <t>NG5</t>
  </si>
  <si>
    <t>Midpoint increment</t>
  </si>
  <si>
    <t>PDA allowance (midpoint)</t>
  </si>
  <si>
    <t>Nurse Practitioner</t>
  </si>
  <si>
    <t>NG8</t>
  </si>
  <si>
    <t>Remote / RANIP (MM7)</t>
  </si>
  <si>
    <t>Leave loading 17.5% 4 weeks</t>
  </si>
  <si>
    <t>FTE labour cost</t>
  </si>
  <si>
    <t>LSL accrual (9 days per annum)</t>
  </si>
  <si>
    <t>Superannuation (12.75%)</t>
  </si>
  <si>
    <t>W/comp  (1.5%)</t>
  </si>
  <si>
    <t>AO5</t>
  </si>
  <si>
    <t>NG3</t>
  </si>
  <si>
    <t>Total Practice Costs</t>
  </si>
  <si>
    <t>Retained earnings payments</t>
  </si>
  <si>
    <t>Earnings less facility fee for MPPP or SMO GPPA (retained)</t>
  </si>
  <si>
    <t>Assigned income</t>
  </si>
  <si>
    <t>Service fee</t>
  </si>
  <si>
    <t>NET CONTRIBUTION TO MEDICAL LABOUR/ HHS</t>
  </si>
  <si>
    <t>Labour cost</t>
  </si>
  <si>
    <t>Employment model</t>
  </si>
  <si>
    <t>Other income may include pre-employment examinations</t>
  </si>
  <si>
    <t>Percent eligible</t>
  </si>
  <si>
    <t>Rural bulk-billing loading</t>
  </si>
  <si>
    <t>Table 2: Patient Mix - Eligible for bulk-billing incentive (concession card, u/16)</t>
  </si>
  <si>
    <t>Table 1: Practice Incentive Program</t>
  </si>
  <si>
    <t>Table 2: Practice Incentive Program - Rural Loadings</t>
  </si>
  <si>
    <t>Table 3: WIP Practice stream</t>
  </si>
  <si>
    <t>Table 4: WIP Practice Stream - Rural Loadings</t>
  </si>
  <si>
    <t>Table 5: WIP Doctor stream</t>
  </si>
  <si>
    <t>MPPP</t>
  </si>
  <si>
    <t>SMO</t>
  </si>
  <si>
    <t>Level 18</t>
  </si>
  <si>
    <t>Assigned</t>
  </si>
  <si>
    <t>Retained</t>
  </si>
  <si>
    <t>PHO</t>
  </si>
  <si>
    <t>N/A</t>
  </si>
  <si>
    <t>Revenue</t>
  </si>
  <si>
    <t xml:space="preserve">www.health.qld.gov.au/hrpolicies/salary/medical </t>
  </si>
  <si>
    <t>Medical salary build</t>
  </si>
  <si>
    <t>Rent and/or building maintenance expenses</t>
  </si>
  <si>
    <t>Per SWPE</t>
  </si>
  <si>
    <t>Practice population</t>
  </si>
  <si>
    <t>Practice Incentive Program (incl. loading)</t>
  </si>
  <si>
    <t>Workforce Incentive Program - Practice stream (incl loading)</t>
  </si>
  <si>
    <t>SWPE approximation</t>
  </si>
  <si>
    <t>Maximum Per SWPE</t>
  </si>
  <si>
    <t>Indigenous Health, Quality Incentive and eHealth only</t>
  </si>
  <si>
    <t>Accreditation expenses, waste removal, cleaning. office etc.</t>
  </si>
  <si>
    <t>Retained payments</t>
  </si>
  <si>
    <t>DO NOTHING</t>
  </si>
  <si>
    <t>DO THIS</t>
  </si>
  <si>
    <t>Assigned earnings</t>
  </si>
  <si>
    <t>Plus practice retained earnings</t>
  </si>
  <si>
    <t>Level 19</t>
  </si>
  <si>
    <t>Level 20</t>
  </si>
  <si>
    <t>Level 21</t>
  </si>
  <si>
    <t>Level 22</t>
  </si>
  <si>
    <t>Level 23</t>
  </si>
  <si>
    <t>Level 24</t>
  </si>
  <si>
    <t>Level 25</t>
  </si>
  <si>
    <t>Level 26</t>
  </si>
  <si>
    <t>Level 27</t>
  </si>
  <si>
    <t>Level 13</t>
  </si>
  <si>
    <t>REG</t>
  </si>
  <si>
    <t>Level 14</t>
  </si>
  <si>
    <t>Level 15</t>
  </si>
  <si>
    <t>Level 16</t>
  </si>
  <si>
    <t>Level 17</t>
  </si>
  <si>
    <t>Excludes recall, extra duty, shift and other penalties, exclude clinical management allowances</t>
  </si>
  <si>
    <t>Sources: QHEPS, current pay rates as to January 2023; SMO remuneration calculator DDHHS</t>
  </si>
  <si>
    <t>MV Allowance</t>
  </si>
  <si>
    <t>PD Allowance</t>
  </si>
  <si>
    <t>Inaccessibility Incentive Scheme</t>
  </si>
  <si>
    <t>Motor Vehicle Allowance</t>
  </si>
  <si>
    <t>Professional Development Allowance</t>
  </si>
  <si>
    <t>Inaccessibility Incentive Allowance</t>
  </si>
  <si>
    <t>Regional HHS Grouping</t>
  </si>
  <si>
    <t>Inaccessibility location Category</t>
  </si>
  <si>
    <t>Regional &amp; remote allowance</t>
  </si>
  <si>
    <t>Attraction &amp; retention  incentive allowance</t>
  </si>
  <si>
    <t>Regional and remote allowance</t>
  </si>
  <si>
    <t>MOR1-1</t>
  </si>
  <si>
    <t>MOR1-2</t>
  </si>
  <si>
    <t>MOR1-3</t>
  </si>
  <si>
    <t>MSR1-1</t>
  </si>
  <si>
    <t>MSR1-2</t>
  </si>
  <si>
    <t>MSR1-3</t>
  </si>
  <si>
    <t>MSR1-4</t>
  </si>
  <si>
    <t>MSR2-1</t>
  </si>
  <si>
    <t>MSR2-2</t>
  </si>
  <si>
    <t>Level 12</t>
  </si>
  <si>
    <t>Level 07</t>
  </si>
  <si>
    <t>Cat 3</t>
  </si>
  <si>
    <t>www.health.qld.gov.au/hrpolicies/salary/admin</t>
  </si>
  <si>
    <t>Provision Long Service Leave @ 2.8%</t>
  </si>
  <si>
    <t>Salary overheads (leave provisions, w/comp)</t>
  </si>
  <si>
    <t>Assumes qualifying staff employment and time met</t>
  </si>
  <si>
    <t>Generally, practices will only hold minimal supplies</t>
  </si>
  <si>
    <t>Generally, practices will only hold minimal medications</t>
  </si>
  <si>
    <t>Workers compensation (@1.5%)</t>
  </si>
  <si>
    <t>Provision recreation leave @ 9.6%</t>
  </si>
  <si>
    <t>Annualised on call (12.03% for SMO only)</t>
  </si>
  <si>
    <t>RRMA classification</t>
  </si>
  <si>
    <t>Supplementary Tables</t>
  </si>
  <si>
    <t>From January 2024, non-vocationaly registered GPs who otherwise meet the eligibility criteria will receive 80% of the applicable WIP doctor stream incentive (doctors in approved training pathways are curreently eligible for the full incentive).</t>
  </si>
  <si>
    <t>AO3</t>
  </si>
  <si>
    <t>Estimated concessional patients bulk billed (%)</t>
  </si>
  <si>
    <t>Salary Rates @ July 2024 [MOCA6]</t>
  </si>
  <si>
    <t>From 1 July 2024</t>
  </si>
  <si>
    <t xml:space="preserve">www.health.qld.gov.au/hrpolicies/wage-rates/nursing#2024 </t>
  </si>
  <si>
    <t>Base salary</t>
  </si>
  <si>
    <t>Locality allowance                           (varies, typical MM5 used)</t>
  </si>
  <si>
    <t>Relieving (at 4 weeks)</t>
  </si>
  <si>
    <t xml:space="preserve">source: Wage rates administration stream (payable from 1 September 2024) </t>
  </si>
  <si>
    <t>Leave loading (4 weeks) @ 17.5%</t>
  </si>
  <si>
    <t>Medical and Clinical Manager allowance</t>
  </si>
  <si>
    <t>Registration and mid-point outcome tier payments per calendar year, assumed 10% patient population are eligible and half of these agree to participate.  Excludes once-off sign-on payment.</t>
  </si>
  <si>
    <t>Weighted Medicare benefit per consultation</t>
  </si>
  <si>
    <t xml:space="preserve">source: Wage rates nursing stream (payable from 1 April 2024)  </t>
  </si>
  <si>
    <t>Table 1: Current MBS Bulk-billing rates (as at 1 July 2024)</t>
  </si>
  <si>
    <t>Weighted patient bulk billed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</si>
</sst>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b/>
      <sz val="14"/>
      <color theme="4"/>
      <name val="Calibri"/>
      <family val="2"/>
      <scheme val="minor"/>
    </font>
    <font>
      <sz val="11"/>
      <name val="Calibri"/>
      <family val="2"/>
      <scheme val="minor"/>
    </font>
    <font>
      <b/>
      <sz val="11"/>
      <name val="Calibri"/>
      <family val="2"/>
      <scheme val="minor"/>
    </font>
    <font>
      <sz val="10"/>
      <color theme="1"/>
      <name val="Calibri"/>
      <family val="2"/>
      <scheme val="minor"/>
    </font>
    <font>
      <sz val="10"/>
      <color rgb="FF000000"/>
      <name val="Calibri"/>
      <family val="2"/>
      <scheme val="minor"/>
    </font>
    <font>
      <u/>
      <sz val="11"/>
      <color theme="10"/>
      <name val="Calibri"/>
      <family val="2"/>
      <scheme val="minor"/>
    </font>
    <font>
      <b/>
      <sz val="11"/>
      <color theme="4" tint="-0.499984740745262"/>
      <name val="Calibri"/>
      <family val="2"/>
      <scheme val="minor"/>
    </font>
    <font>
      <b/>
      <sz val="20"/>
      <color theme="4" tint="-0.499984740745262"/>
      <name val="Calibri"/>
      <family val="2"/>
      <scheme val="minor"/>
    </font>
    <font>
      <b/>
      <sz val="10"/>
      <color theme="1"/>
      <name val="Calibri"/>
      <family val="2"/>
      <scheme val="minor"/>
    </font>
    <font>
      <b/>
      <sz val="14"/>
      <color theme="9" tint="-0.499984740745262"/>
      <name val="Calibri"/>
      <family val="2"/>
      <scheme val="minor"/>
    </font>
    <font>
      <b/>
      <sz val="11"/>
      <color theme="9" tint="-0.499984740745262"/>
      <name val="Calibri"/>
      <family val="2"/>
      <scheme val="minor"/>
    </font>
    <font>
      <b/>
      <sz val="11"/>
      <color theme="8" tint="-0.499984740745262"/>
      <name val="Calibri"/>
      <family val="2"/>
      <scheme val="minor"/>
    </font>
    <font>
      <b/>
      <sz val="10"/>
      <color rgb="FF000000"/>
      <name val="Calibri"/>
      <family val="2"/>
      <scheme val="minor"/>
    </font>
    <font>
      <b/>
      <sz val="10"/>
      <color theme="4" tint="-0.499984740745262"/>
      <name val="Calibri"/>
      <family val="2"/>
      <scheme val="minor"/>
    </font>
    <font>
      <b/>
      <sz val="10"/>
      <name val="Calibri"/>
      <family val="2"/>
      <scheme val="minor"/>
    </font>
    <font>
      <sz val="10"/>
      <name val="Calibri"/>
      <family val="2"/>
      <scheme val="minor"/>
    </font>
    <font>
      <b/>
      <sz val="20"/>
      <color theme="4" tint="-0.249977111117893"/>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B4C6E7"/>
        <bgColor indexed="64"/>
      </patternFill>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122">
    <xf numFmtId="0" fontId="0" fillId="0" borderId="0" xfId="0"/>
    <xf numFmtId="0" fontId="0" fillId="3" borderId="0" xfId="0" applyFill="1"/>
    <xf numFmtId="164" fontId="0" fillId="3" borderId="0" xfId="1" applyNumberFormat="1" applyFont="1" applyFill="1"/>
    <xf numFmtId="0" fontId="0" fillId="4" borderId="0" xfId="0" applyFill="1"/>
    <xf numFmtId="0" fontId="0" fillId="4" borderId="0" xfId="0" applyFill="1" applyAlignment="1">
      <alignment horizontal="center"/>
    </xf>
    <xf numFmtId="0" fontId="0" fillId="4" borderId="0" xfId="0" applyFont="1" applyFill="1"/>
    <xf numFmtId="0" fontId="0" fillId="3" borderId="1" xfId="0" applyFill="1" applyBorder="1" applyAlignment="1" applyProtection="1">
      <alignment horizontal="center"/>
      <protection locked="0"/>
    </xf>
    <xf numFmtId="9" fontId="0" fillId="3" borderId="1" xfId="2" applyFont="1" applyFill="1" applyBorder="1" applyAlignment="1" applyProtection="1">
      <alignment horizontal="center"/>
      <protection locked="0"/>
    </xf>
    <xf numFmtId="9" fontId="0" fillId="3" borderId="1" xfId="0" applyNumberFormat="1" applyFill="1" applyBorder="1" applyAlignment="1" applyProtection="1">
      <alignment horizontal="center"/>
      <protection locked="0"/>
    </xf>
    <xf numFmtId="0" fontId="3" fillId="4" borderId="0" xfId="0" applyFont="1" applyFill="1"/>
    <xf numFmtId="164" fontId="0" fillId="4" borderId="0" xfId="1" applyNumberFormat="1" applyFont="1" applyFill="1"/>
    <xf numFmtId="0" fontId="2" fillId="4" borderId="0" xfId="0" applyFont="1" applyFill="1"/>
    <xf numFmtId="0" fontId="2" fillId="4" borderId="0" xfId="0" applyFont="1" applyFill="1" applyBorder="1"/>
    <xf numFmtId="0" fontId="2" fillId="4" borderId="0" xfId="0" applyFont="1" applyFill="1" applyBorder="1" applyAlignment="1">
      <alignment horizontal="right" wrapText="1"/>
    </xf>
    <xf numFmtId="0" fontId="2" fillId="4" borderId="0" xfId="0" applyFont="1" applyFill="1" applyAlignment="1">
      <alignment horizontal="right" wrapText="1"/>
    </xf>
    <xf numFmtId="44" fontId="0" fillId="4" borderId="0" xfId="3" applyFont="1" applyFill="1" applyAlignment="1">
      <alignment horizontal="center"/>
    </xf>
    <xf numFmtId="44" fontId="0" fillId="3" borderId="1" xfId="3" applyFont="1" applyFill="1" applyBorder="1" applyAlignment="1" applyProtection="1">
      <alignment horizontal="center"/>
      <protection locked="0"/>
    </xf>
    <xf numFmtId="0" fontId="2" fillId="4" borderId="0" xfId="0" applyFont="1" applyFill="1" applyAlignment="1">
      <alignment horizontal="right"/>
    </xf>
    <xf numFmtId="0" fontId="6" fillId="4" borderId="0" xfId="0" applyFont="1" applyFill="1"/>
    <xf numFmtId="0" fontId="7" fillId="4" borderId="0" xfId="0" applyFont="1" applyFill="1"/>
    <xf numFmtId="3" fontId="0" fillId="4" borderId="0" xfId="0" applyNumberFormat="1" applyFill="1" applyBorder="1"/>
    <xf numFmtId="3" fontId="0" fillId="4" borderId="0" xfId="1" applyNumberFormat="1" applyFont="1" applyFill="1"/>
    <xf numFmtId="3" fontId="0" fillId="4" borderId="0" xfId="1" applyNumberFormat="1" applyFont="1" applyFill="1" applyBorder="1"/>
    <xf numFmtId="3" fontId="6" fillId="4" borderId="0" xfId="0" applyNumberFormat="1" applyFont="1" applyFill="1" applyBorder="1"/>
    <xf numFmtId="3" fontId="6" fillId="4" borderId="0" xfId="1" applyNumberFormat="1" applyFont="1" applyFill="1"/>
    <xf numFmtId="3" fontId="6" fillId="4" borderId="0" xfId="1" applyNumberFormat="1" applyFont="1" applyFill="1" applyBorder="1"/>
    <xf numFmtId="3" fontId="2" fillId="4" borderId="0" xfId="0" applyNumberFormat="1" applyFont="1" applyFill="1" applyBorder="1"/>
    <xf numFmtId="3" fontId="2" fillId="4" borderId="0" xfId="1" applyNumberFormat="1" applyFont="1" applyFill="1" applyBorder="1"/>
    <xf numFmtId="3" fontId="6" fillId="4" borderId="2" xfId="0" applyNumberFormat="1" applyFont="1" applyFill="1" applyBorder="1"/>
    <xf numFmtId="3" fontId="6" fillId="4" borderId="2" xfId="1" applyNumberFormat="1" applyFont="1" applyFill="1" applyBorder="1"/>
    <xf numFmtId="3" fontId="0" fillId="4" borderId="2" xfId="0" applyNumberFormat="1" applyFont="1" applyFill="1" applyBorder="1"/>
    <xf numFmtId="3" fontId="0" fillId="4" borderId="2" xfId="1" applyNumberFormat="1" applyFont="1" applyFill="1" applyBorder="1"/>
    <xf numFmtId="0" fontId="8"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3"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6" fontId="8"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8" fontId="8" fillId="0" borderId="5" xfId="0" applyNumberFormat="1" applyFont="1" applyBorder="1" applyAlignment="1">
      <alignment horizontal="center" vertical="center" wrapText="1"/>
    </xf>
    <xf numFmtId="6" fontId="8" fillId="2" borderId="5" xfId="0" applyNumberFormat="1" applyFont="1" applyFill="1" applyBorder="1" applyAlignment="1">
      <alignment horizontal="center" vertical="center" wrapText="1"/>
    </xf>
    <xf numFmtId="6" fontId="8" fillId="4" borderId="5" xfId="0" applyNumberFormat="1" applyFont="1" applyFill="1" applyBorder="1" applyAlignment="1">
      <alignment horizontal="center" vertical="center" wrapText="1"/>
    </xf>
    <xf numFmtId="6" fontId="13" fillId="4" borderId="5" xfId="0" applyNumberFormat="1" applyFont="1" applyFill="1" applyBorder="1" applyAlignment="1">
      <alignment horizontal="center" vertical="center" wrapText="1"/>
    </xf>
    <xf numFmtId="0" fontId="8" fillId="5" borderId="1" xfId="0" applyFont="1" applyFill="1" applyBorder="1" applyAlignment="1">
      <alignment vertical="center" wrapText="1"/>
    </xf>
    <xf numFmtId="3" fontId="8" fillId="0" borderId="4" xfId="0" applyNumberFormat="1" applyFont="1" applyBorder="1" applyAlignment="1">
      <alignment vertical="center" wrapText="1"/>
    </xf>
    <xf numFmtId="0" fontId="0" fillId="6" borderId="0" xfId="0" applyFill="1"/>
    <xf numFmtId="3" fontId="0" fillId="6" borderId="0" xfId="0" applyNumberFormat="1" applyFill="1"/>
    <xf numFmtId="0" fontId="0" fillId="6" borderId="0" xfId="0" applyFill="1" applyAlignment="1">
      <alignment horizontal="left" indent="2"/>
    </xf>
    <xf numFmtId="3" fontId="0" fillId="3" borderId="0" xfId="0" applyNumberFormat="1" applyFill="1"/>
    <xf numFmtId="0" fontId="15" fillId="6" borderId="0" xfId="0" applyFont="1" applyFill="1" applyAlignment="1">
      <alignment vertical="center" wrapText="1"/>
    </xf>
    <xf numFmtId="0" fontId="15" fillId="6" borderId="0" xfId="0" applyFont="1" applyFill="1" applyAlignment="1">
      <alignment horizontal="right" vertical="center" wrapText="1"/>
    </xf>
    <xf numFmtId="0" fontId="12" fillId="3" borderId="0" xfId="0" applyFont="1" applyFill="1"/>
    <xf numFmtId="0" fontId="11" fillId="3" borderId="0" xfId="0" applyFont="1" applyFill="1"/>
    <xf numFmtId="0" fontId="10" fillId="3" borderId="0" xfId="4" applyFill="1"/>
    <xf numFmtId="43" fontId="0" fillId="3" borderId="0" xfId="1" applyFont="1" applyFill="1"/>
    <xf numFmtId="0" fontId="2" fillId="3" borderId="0" xfId="0" applyFont="1" applyFill="1"/>
    <xf numFmtId="9" fontId="8" fillId="0" borderId="4" xfId="2" applyFont="1" applyBorder="1" applyAlignment="1">
      <alignment horizontal="center" vertical="center" wrapText="1"/>
    </xf>
    <xf numFmtId="0" fontId="16" fillId="3" borderId="0" xfId="0" applyFont="1" applyFill="1"/>
    <xf numFmtId="8" fontId="13" fillId="0" borderId="5" xfId="0" applyNumberFormat="1" applyFont="1" applyBorder="1" applyAlignment="1">
      <alignment horizontal="center" vertical="center" wrapText="1"/>
    </xf>
    <xf numFmtId="8" fontId="13" fillId="4" borderId="5" xfId="0" applyNumberFormat="1"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8"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1" xfId="0" applyFont="1" applyFill="1" applyBorder="1" applyAlignment="1">
      <alignment vertical="center" wrapText="1"/>
    </xf>
    <xf numFmtId="3" fontId="13" fillId="3" borderId="1" xfId="0" applyNumberFormat="1" applyFont="1" applyFill="1" applyBorder="1" applyAlignment="1">
      <alignment vertical="center" wrapText="1"/>
    </xf>
    <xf numFmtId="3" fontId="8" fillId="3" borderId="1" xfId="0" applyNumberFormat="1" applyFont="1" applyFill="1" applyBorder="1" applyAlignment="1">
      <alignment vertical="center" wrapText="1"/>
    </xf>
    <xf numFmtId="6" fontId="8" fillId="3" borderId="3" xfId="0" applyNumberFormat="1" applyFont="1" applyFill="1" applyBorder="1" applyAlignment="1">
      <alignment horizontal="right" vertical="center" wrapText="1" indent="2"/>
    </xf>
    <xf numFmtId="6" fontId="13" fillId="3" borderId="3" xfId="0" applyNumberFormat="1" applyFont="1" applyFill="1" applyBorder="1" applyAlignment="1">
      <alignment horizontal="right" vertical="center" wrapText="1" indent="2"/>
    </xf>
    <xf numFmtId="0" fontId="0" fillId="7" borderId="0" xfId="0" applyFill="1"/>
    <xf numFmtId="164" fontId="0" fillId="7" borderId="0" xfId="1" applyNumberFormat="1" applyFont="1" applyFill="1"/>
    <xf numFmtId="0" fontId="12" fillId="7" borderId="0" xfId="0" applyFont="1" applyFill="1"/>
    <xf numFmtId="0" fontId="18" fillId="7" borderId="0" xfId="0" applyFont="1" applyFill="1" applyAlignment="1">
      <alignment vertical="center"/>
    </xf>
    <xf numFmtId="0" fontId="18" fillId="7" borderId="0" xfId="0" applyFont="1" applyFill="1" applyAlignment="1">
      <alignment horizontal="center" vertical="center"/>
    </xf>
    <xf numFmtId="0" fontId="13" fillId="7" borderId="1" xfId="0" applyFont="1" applyFill="1" applyBorder="1" applyAlignment="1">
      <alignment vertical="center" wrapText="1"/>
    </xf>
    <xf numFmtId="3" fontId="13" fillId="7" borderId="1" xfId="0" applyNumberFormat="1" applyFont="1" applyFill="1" applyBorder="1" applyAlignment="1">
      <alignment vertical="center" wrapText="1"/>
    </xf>
    <xf numFmtId="3" fontId="8" fillId="7" borderId="1" xfId="0" applyNumberFormat="1" applyFont="1" applyFill="1" applyBorder="1" applyAlignment="1">
      <alignment vertical="center" wrapText="1"/>
    </xf>
    <xf numFmtId="6" fontId="8" fillId="7" borderId="3" xfId="0" applyNumberFormat="1" applyFont="1" applyFill="1" applyBorder="1" applyAlignment="1">
      <alignment horizontal="right" vertical="center" wrapText="1" indent="2"/>
    </xf>
    <xf numFmtId="6" fontId="13" fillId="7" borderId="3" xfId="0" applyNumberFormat="1" applyFont="1" applyFill="1" applyBorder="1" applyAlignment="1">
      <alignment horizontal="right" vertical="center" wrapText="1" indent="2"/>
    </xf>
    <xf numFmtId="0" fontId="10" fillId="7" borderId="0" xfId="4" applyFill="1"/>
    <xf numFmtId="165" fontId="8" fillId="3" borderId="3" xfId="1" applyNumberFormat="1" applyFont="1" applyFill="1" applyBorder="1" applyAlignment="1" applyProtection="1">
      <alignment horizontal="right" vertical="center" wrapText="1" indent="2"/>
      <protection locked="0"/>
    </xf>
    <xf numFmtId="0" fontId="8" fillId="7" borderId="1" xfId="0" applyFont="1" applyFill="1" applyBorder="1" applyAlignment="1">
      <alignment vertical="center" wrapText="1"/>
    </xf>
    <xf numFmtId="8" fontId="8" fillId="7" borderId="3" xfId="0" applyNumberFormat="1" applyFont="1" applyFill="1" applyBorder="1" applyAlignment="1">
      <alignment horizontal="center" vertical="center" wrapText="1"/>
    </xf>
    <xf numFmtId="0" fontId="8" fillId="7" borderId="3" xfId="0" applyNumberFormat="1" applyFont="1" applyFill="1" applyBorder="1" applyAlignment="1">
      <alignment horizontal="center" vertical="center" wrapText="1"/>
    </xf>
    <xf numFmtId="164" fontId="0" fillId="7" borderId="1" xfId="1" applyNumberFormat="1" applyFont="1" applyFill="1" applyBorder="1"/>
    <xf numFmtId="164" fontId="2" fillId="7" borderId="4" xfId="1" applyNumberFormat="1" applyFont="1" applyFill="1" applyBorder="1"/>
    <xf numFmtId="3" fontId="0" fillId="3" borderId="1" xfId="0" applyNumberFormat="1" applyFill="1" applyBorder="1" applyAlignment="1" applyProtection="1">
      <alignment horizontal="center"/>
      <protection locked="0"/>
    </xf>
    <xf numFmtId="9" fontId="0" fillId="3" borderId="1" xfId="0" applyNumberFormat="1" applyFill="1" applyBorder="1" applyProtection="1">
      <protection locked="0"/>
    </xf>
    <xf numFmtId="3" fontId="0" fillId="3" borderId="1" xfId="0" applyNumberFormat="1" applyFill="1" applyBorder="1" applyProtection="1">
      <protection locked="0"/>
    </xf>
    <xf numFmtId="3" fontId="0" fillId="3" borderId="9" xfId="0" applyNumberFormat="1" applyFill="1" applyBorder="1" applyProtection="1">
      <protection locked="0"/>
    </xf>
    <xf numFmtId="3" fontId="0" fillId="3" borderId="10" xfId="0" applyNumberFormat="1" applyFill="1" applyBorder="1" applyProtection="1">
      <protection locked="0"/>
    </xf>
    <xf numFmtId="0" fontId="18" fillId="3" borderId="1" xfId="0" applyFont="1" applyFill="1" applyBorder="1" applyAlignment="1" applyProtection="1">
      <alignment horizontal="center" vertical="center"/>
      <protection locked="0"/>
    </xf>
    <xf numFmtId="3" fontId="8" fillId="7" borderId="7" xfId="0" applyNumberFormat="1" applyFont="1" applyFill="1" applyBorder="1" applyAlignment="1">
      <alignment vertical="center" wrapText="1"/>
    </xf>
    <xf numFmtId="6" fontId="8" fillId="7" borderId="7" xfId="0" applyNumberFormat="1" applyFont="1" applyFill="1" applyBorder="1" applyAlignment="1">
      <alignment horizontal="right" vertical="center" wrapText="1" indent="2"/>
    </xf>
    <xf numFmtId="9" fontId="8" fillId="7" borderId="7" xfId="2" applyFont="1" applyFill="1" applyBorder="1" applyAlignment="1">
      <alignment horizontal="right" vertical="center" wrapText="1" indent="2"/>
    </xf>
    <xf numFmtId="0" fontId="19" fillId="7" borderId="7" xfId="0" applyFont="1" applyFill="1" applyBorder="1" applyAlignment="1">
      <alignment vertical="center" wrapText="1"/>
    </xf>
    <xf numFmtId="0" fontId="19" fillId="7" borderId="9" xfId="0" applyFont="1" applyFill="1" applyBorder="1" applyAlignment="1" applyProtection="1">
      <alignment horizontal="center" vertical="center" wrapText="1"/>
    </xf>
    <xf numFmtId="3" fontId="19" fillId="7" borderId="11" xfId="0" applyNumberFormat="1" applyFont="1" applyFill="1" applyBorder="1" applyAlignment="1">
      <alignment vertical="center" wrapText="1"/>
    </xf>
    <xf numFmtId="8" fontId="19" fillId="3" borderId="1"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vertical="center" wrapText="1"/>
    </xf>
    <xf numFmtId="0" fontId="19" fillId="7" borderId="8" xfId="0" applyNumberFormat="1" applyFont="1" applyFill="1" applyBorder="1" applyAlignment="1" applyProtection="1">
      <alignment horizontal="center" vertical="center" wrapText="1"/>
    </xf>
    <xf numFmtId="3" fontId="20" fillId="7" borderId="7" xfId="0" applyNumberFormat="1" applyFont="1" applyFill="1" applyBorder="1" applyAlignment="1">
      <alignment vertical="center" wrapText="1"/>
    </xf>
    <xf numFmtId="6" fontId="20" fillId="7" borderId="7" xfId="0" applyNumberFormat="1" applyFont="1" applyFill="1" applyBorder="1" applyAlignment="1">
      <alignment horizontal="right" vertical="center" wrapText="1" indent="2"/>
    </xf>
    <xf numFmtId="6" fontId="19" fillId="7" borderId="7" xfId="0" applyNumberFormat="1" applyFont="1" applyFill="1" applyBorder="1" applyAlignment="1">
      <alignment horizontal="right" vertical="center" wrapText="1" indent="2"/>
    </xf>
    <xf numFmtId="6" fontId="8" fillId="3" borderId="5"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8" fontId="8" fillId="3" borderId="5" xfId="0" applyNumberFormat="1" applyFont="1" applyFill="1" applyBorder="1" applyAlignment="1">
      <alignment horizontal="center" vertical="center" wrapText="1"/>
    </xf>
    <xf numFmtId="4" fontId="0" fillId="3" borderId="0" xfId="0" applyNumberFormat="1" applyFill="1"/>
    <xf numFmtId="8" fontId="13" fillId="3" borderId="5" xfId="0" applyNumberFormat="1" applyFont="1" applyFill="1" applyBorder="1" applyAlignment="1">
      <alignment horizontal="center" vertical="center" wrapText="1"/>
    </xf>
    <xf numFmtId="44" fontId="6" fillId="4" borderId="0" xfId="3" applyFont="1" applyFill="1" applyBorder="1" applyAlignment="1">
      <alignment horizontal="center"/>
    </xf>
    <xf numFmtId="9" fontId="6" fillId="4" borderId="1" xfId="0" applyNumberFormat="1" applyFont="1" applyFill="1" applyBorder="1" applyAlignment="1" applyProtection="1">
      <alignment horizontal="center"/>
    </xf>
    <xf numFmtId="3" fontId="6" fillId="6" borderId="0" xfId="0" applyNumberFormat="1" applyFont="1" applyFill="1"/>
    <xf numFmtId="0" fontId="6" fillId="3" borderId="0" xfId="0" applyFont="1" applyFill="1"/>
    <xf numFmtId="0" fontId="6" fillId="7" borderId="0" xfId="0" applyFont="1" applyFill="1"/>
    <xf numFmtId="0" fontId="21" fillId="3" borderId="0" xfId="0" applyFont="1" applyFill="1"/>
    <xf numFmtId="0" fontId="5" fillId="4" borderId="0" xfId="0" applyFont="1" applyFill="1" applyAlignment="1">
      <alignment horizontal="center"/>
    </xf>
    <xf numFmtId="0" fontId="14" fillId="6" borderId="0" xfId="0" applyFont="1" applyFill="1" applyAlignment="1">
      <alignment horizontal="center"/>
    </xf>
    <xf numFmtId="0" fontId="9" fillId="5"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9" fontId="8" fillId="0" borderId="6" xfId="0" applyNumberFormat="1" applyFont="1" applyBorder="1" applyAlignment="1">
      <alignment horizontal="left" vertical="center" wrapText="1"/>
    </xf>
    <xf numFmtId="9" fontId="8" fillId="0" borderId="3" xfId="0" applyNumberFormat="1" applyFont="1" applyBorder="1" applyAlignment="1">
      <alignment horizontal="left" vertical="center" wrapText="1"/>
    </xf>
    <xf numFmtId="9" fontId="8" fillId="2" borderId="6" xfId="0" applyNumberFormat="1" applyFont="1" applyFill="1" applyBorder="1" applyAlignment="1">
      <alignment horizontal="left" vertical="center" wrapText="1"/>
    </xf>
    <xf numFmtId="9" fontId="8" fillId="2" borderId="3" xfId="0" applyNumberFormat="1" applyFont="1" applyFill="1" applyBorder="1" applyAlignment="1">
      <alignment horizontal="left" vertical="center" wrapText="1"/>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466726</xdr:colOff>
      <xdr:row>0</xdr:row>
      <xdr:rowOff>123825</xdr:rowOff>
    </xdr:from>
    <xdr:to>
      <xdr:col>19</xdr:col>
      <xdr:colOff>123826</xdr:colOff>
      <xdr:row>82</xdr:row>
      <xdr:rowOff>123825</xdr:rowOff>
    </xdr:to>
    <xdr:sp macro="" textlink="">
      <xdr:nvSpPr>
        <xdr:cNvPr id="2" name="TextBox 1">
          <a:extLst>
            <a:ext uri="{FF2B5EF4-FFF2-40B4-BE49-F238E27FC236}">
              <a16:creationId xmlns:a16="http://schemas.microsoft.com/office/drawing/2014/main" id="{AD2FCB94-7BB3-4A2C-A4A6-9D4B5E16E3E8}"/>
            </a:ext>
          </a:extLst>
        </xdr:cNvPr>
        <xdr:cNvSpPr txBox="1"/>
      </xdr:nvSpPr>
      <xdr:spPr>
        <a:xfrm>
          <a:off x="466726" y="123825"/>
          <a:ext cx="11239500" cy="15621000"/>
        </a:xfrm>
        <a:prstGeom prst="rect">
          <a:avLst/>
        </a:prstGeom>
        <a:solidFill>
          <a:srgbClr val="FFFFCC">
            <a:alpha val="46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07000"/>
            </a:lnSpc>
            <a:spcAft>
              <a:spcPts val="800"/>
            </a:spcAft>
          </a:pPr>
          <a:r>
            <a:rPr lang="en-US" sz="1800" b="1">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Integrated Private General Practice Costing Model</a:t>
          </a:r>
        </a:p>
        <a:p>
          <a:pPr>
            <a:lnSpc>
              <a:spcPct val="107000"/>
            </a:lnSpc>
            <a:spcAft>
              <a:spcPts val="800"/>
            </a:spcAft>
          </a:pPr>
          <a:r>
            <a:rPr lang="en-US" sz="1100" b="0" i="1">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Updated -</a:t>
          </a:r>
          <a:r>
            <a:rPr lang="en-US" sz="1100" b="0" i="1" baseline="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 July 2024</a:t>
          </a:r>
          <a:endParaRPr lang="en-US" sz="1100" b="0" i="1">
            <a:solidFill>
              <a:srgbClr val="4472C4"/>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100" b="1">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Introduction</a:t>
          </a:r>
          <a:endParaRPr lang="en-AU" sz="10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costing model has been developed to assist project leads to: </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undertake preliminary estimates and perform sensitivity analysis of medical employment models  to be considered for a HHS operated private general practice (</a:t>
          </a:r>
          <a:r>
            <a:rPr lang="en-US" sz="1100" b="1">
              <a:solidFill>
                <a:schemeClr val="accent1"/>
              </a:solidFill>
              <a:effectLst/>
              <a:latin typeface="Calibri" panose="020F0502020204030204" pitchFamily="34" charset="0"/>
              <a:ea typeface="Calibri" panose="020F0502020204030204" pitchFamily="34" charset="0"/>
              <a:cs typeface="Times New Roman" panose="02020603050405020304" pitchFamily="18" charset="0"/>
            </a:rPr>
            <a:t>Compare</a:t>
          </a:r>
          <a:r>
            <a:rPr lang="en-US" sz="1100">
              <a:effectLst/>
              <a:latin typeface="Calibri" panose="020F0502020204030204" pitchFamily="34" charset="0"/>
              <a:ea typeface="Calibri" panose="020F0502020204030204" pitchFamily="34" charset="0"/>
              <a:cs typeface="Times New Roman" panose="02020603050405020304" pitchFamily="18" charset="0"/>
            </a:rPr>
            <a:t> tab); and</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prepare an initial project budget to support a business case for the transition of a private general practice to a HHS operated general practice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b="1" baseline="0">
              <a:solidFill>
                <a:schemeClr val="accent1"/>
              </a:solidFill>
              <a:effectLst/>
              <a:latin typeface="Calibri" panose="020F0502020204030204" pitchFamily="34" charset="0"/>
              <a:ea typeface="Calibri" panose="020F0502020204030204" pitchFamily="34" charset="0"/>
              <a:cs typeface="Times New Roman" panose="02020603050405020304" pitchFamily="18" charset="0"/>
            </a:rPr>
            <a:t>Practice Budget </a:t>
          </a:r>
          <a:r>
            <a:rPr lang="en-US" sz="1100" baseline="0">
              <a:effectLst/>
              <a:latin typeface="Calibri" panose="020F0502020204030204" pitchFamily="34" charset="0"/>
              <a:ea typeface="Calibri" panose="020F0502020204030204" pitchFamily="34" charset="0"/>
              <a:cs typeface="Times New Roman" panose="02020603050405020304" pitchFamily="18" charset="0"/>
            </a:rPr>
            <a:t>tab).</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All sheets in the workbook are protected to avoid breaking calculations.  </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US" sz="1100">
              <a:effectLst/>
              <a:latin typeface="Calibri" panose="020F0502020204030204" pitchFamily="34" charset="0"/>
              <a:ea typeface="Calibri" panose="020F0502020204030204" pitchFamily="34" charset="0"/>
              <a:cs typeface="Times New Roman" panose="02020603050405020304" pitchFamily="18" charset="0"/>
            </a:rPr>
            <a:t>Cells requiring data input are left unlocked and appear as white  cells with heavy borders.  </a:t>
          </a:r>
          <a:r>
            <a:rPr lang="en-US" sz="1100">
              <a:solidFill>
                <a:schemeClr val="dk1"/>
              </a:solidFill>
              <a:effectLst/>
              <a:latin typeface="+mn-lt"/>
              <a:ea typeface="+mn-ea"/>
              <a:cs typeface="+mn-cs"/>
            </a:rPr>
            <a:t>Many use drop down lists.</a:t>
          </a:r>
          <a:endParaRPr lang="en-AU" sz="1000">
            <a:effectLst/>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Assumptions are set out in the workbook where relevant, with data sources  referenced .</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endParaRPr lang="en-AU" sz="1100"/>
        </a:p>
        <a:p>
          <a:pPr>
            <a:lnSpc>
              <a:spcPct val="107000"/>
            </a:lnSpc>
            <a:spcAft>
              <a:spcPts val="800"/>
            </a:spcAft>
          </a:pPr>
          <a:r>
            <a:rPr lang="en-US" sz="1100" b="1">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Compare employment models</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Step 1  	Add the location of the practice</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Step 2	Add the Modified Monash Model classification for the practice</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Step 3	Make an estimate of the proportion of bulk billed patients who may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attract the bulk-billing incentive </a:t>
          </a:r>
          <a:r>
            <a:rPr lang="en-US" sz="1100">
              <a:effectLst/>
              <a:latin typeface="Calibri" panose="020F0502020204030204" pitchFamily="34" charset="0"/>
              <a:ea typeface="Calibri" panose="020F0502020204030204" pitchFamily="34" charset="0"/>
              <a:cs typeface="Times New Roman" panose="02020603050405020304" pitchFamily="18" charset="0"/>
            </a:rPr>
            <a:t>(i.e.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concession card holders, children under 16).  </a:t>
          </a:r>
        </a:p>
        <a:p>
          <a:pPr>
            <a:lnSpc>
              <a:spcPct val="107000"/>
            </a:lnSpc>
            <a:spcBef>
              <a:spcPts val="400"/>
            </a:spcBef>
            <a:spcAft>
              <a:spcPts val="4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This calculates an average Medicare rebate.</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4	If using a mixed private billing model, add the planned standard consultation fee. This calculates an average consult fee.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5	Add the number of hours per week a doctor is required to perform essential hospital duties (Rounds, ED attendance/outpatients, administration).  </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Rostering should aim to free up doctors to conduct general practice.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Practice earnings are very sensitive to time spent in the practice.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6	Based on the practice model, decide how many appointments will be booked per hour in the practice.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AU" sz="1000" b="0">
              <a:effectLst/>
              <a:latin typeface="Calibri" panose="020F0502020204030204" pitchFamily="34" charset="0"/>
              <a:ea typeface="Calibri" panose="020F0502020204030204" pitchFamily="34" charset="0"/>
              <a:cs typeface="Times New Roman" panose="02020603050405020304" pitchFamily="18" charset="0"/>
            </a:rPr>
            <a:t>	</a:t>
          </a:r>
          <a:r>
            <a:rPr lang="en-US" sz="1100" b="0">
              <a:effectLst/>
              <a:latin typeface="Calibri" panose="020F0502020204030204" pitchFamily="34" charset="0"/>
              <a:ea typeface="Calibri" panose="020F0502020204030204" pitchFamily="34" charset="0"/>
              <a:cs typeface="Times New Roman" panose="02020603050405020304" pitchFamily="18" charset="0"/>
            </a:rPr>
            <a:t>Practice earnings are very sensitive to appointments/hr.</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7 	Amend the billing days per doctor based on local plans, if needed.  </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Practice earnings are very sensitive to billing days/FTE</a:t>
          </a: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8	Select</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a service fee to be applied to practice earnings to cover practice management costs.  The rate must be zero for the SMO assigned employment model.</a:t>
          </a:r>
        </a:p>
        <a:p>
          <a:pPr>
            <a:lnSpc>
              <a:spcPct val="107000"/>
            </a:lnSpc>
            <a:spcBef>
              <a:spcPts val="400"/>
            </a:spcBef>
            <a:spcAft>
              <a:spcPts val="400"/>
            </a:spcAft>
          </a:pPr>
          <a:r>
            <a:rPr lang="en-US" sz="1100" b="0" baseline="0">
              <a:effectLst/>
              <a:latin typeface="Calibri" panose="020F0502020204030204" pitchFamily="34" charset="0"/>
              <a:ea typeface="Calibri" panose="020F0502020204030204" pitchFamily="34" charset="0"/>
              <a:cs typeface="Times New Roman" panose="02020603050405020304" pitchFamily="18" charset="0"/>
            </a:rPr>
            <a:t>	The service fee for the retention option of a GPPA is set by the Fees and Charges Register (</a:t>
          </a:r>
          <a:r>
            <a:rPr lang="en-AU">
              <a:hlinkClick xmlns:r="http://schemas.openxmlformats.org/officeDocument/2006/relationships" r:id=""/>
            </a:rPr>
            <a:t>Revenue Resources| Past Fees and Charges Registers (health.qld.gov.au)</a:t>
          </a:r>
          <a:r>
            <a:rPr lang="en-AU"/>
            <a:t> </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at 25% for most 	individual GP items, with higher rates for procedural items.</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9	Compare.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Results are produced to show the net cost to the HHS and the pre-tax remuneration for each employment option.</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Option A is the base case where an SMO only works in the hospital.</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Note that the MPPP model assumes the HHS will provide a practice management service (usually MPPPs  operate and staff</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b="0">
              <a:effectLst/>
              <a:latin typeface="Calibri" panose="020F0502020204030204" pitchFamily="34" charset="0"/>
              <a:ea typeface="Calibri" panose="020F0502020204030204" pitchFamily="34" charset="0"/>
              <a:cs typeface="Times New Roman" panose="02020603050405020304" pitchFamily="18" charset="0"/>
            </a:rPr>
            <a:t>their own private practices).</a:t>
          </a: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10 	Conduct sensitivity by adjusting settings in Steps 5-7 for  ‘best case’ and ‘worst case’ scenarios.</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11	Finalise settings so that the model can be used when building the practice budget.</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AU" sz="1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100" b="1">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Build a Practice Budget</a:t>
          </a:r>
          <a:endParaRPr lang="en-AU" sz="10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1	Add the Modified Monash Model classification for the practice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2	Estimate your ‘active’ practice population.  </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As patient records will usually transfer to the HHS, this can be obtained from the practice software.  </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3	Estimate the percentage of total patient care provided by your practice (some patients also see other GPs).  </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The Standardized Whole Patient Equivalent (SWPE) is used by Services Australian to calculate  a number of Practice incentives.</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4	Insert the employment model for each Medical Practitioner.  Different employment models can be used</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(though is uncommon).</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Earnings and cost data is pulled from the Compare tab.</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The value of earnings will heavily rely on the time spent each week in the practice, the number of days worked per year, and the number of appointments booked per hour.</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As a rule of thumb, there should be one GP per 1,000 patients.</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5	Access the ‘Doctor salary build’ tab to change the classification level of medical practitioners (L13 through 25 and MOR1 through MSR2).</a:t>
          </a: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The model only alllows one classification level, so use a</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midpoint for the purposes of the budget</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6	Access the ‘Practice staff salary build’ tab to change the FTE profile of the practice workforce.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Calculations are based on mid-point salary ranges and are indicative for budgetting  only.</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7	Add amounts for other revenues and other practice expenses (utilities, consumables, property costs etc).</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Step 8	Review and compare</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Alternative staffing models can be modelled (Step 4).</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Note the surplus/gap between total practice revenues and costs.</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Note the comparison of ‘do nothing’ and ‘do this’.  In the ‘do nothing’ case, there would be no general practice service and all community members would present at the hospital.</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Importantly, medical salaries are not included in the practice budget, as the model assumes these doctors are already funded in the hospital budget (an availability cost).  </a:t>
          </a:r>
        </a:p>
        <a:p>
          <a:pPr>
            <a:lnSpc>
              <a:spcPct val="107000"/>
            </a:lnSpc>
            <a:spcBef>
              <a:spcPts val="400"/>
            </a:spcBef>
            <a:spcAft>
              <a:spcPts val="4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	This assumption may not hold if hospital medical staff are unable to be released to conduct private practice and additional medical staff are employed</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for the general practice</a:t>
          </a:r>
          <a:r>
            <a:rPr lang="en-US" sz="1100" b="0">
              <a:effectLst/>
              <a:latin typeface="Calibri" panose="020F0502020204030204" pitchFamily="34" charset="0"/>
              <a:ea typeface="Calibri" panose="020F0502020204030204" pitchFamily="34" charset="0"/>
              <a:cs typeface="Times New Roman" panose="02020603050405020304" pitchFamily="18" charset="0"/>
            </a:rPr>
            <a:t>.</a:t>
          </a:r>
          <a:endParaRPr lang="en-AU" sz="1000" b="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endParaRPr lang="en-AU" sz="1000">
            <a:effectLst/>
            <a:latin typeface="Calibri" panose="020F0502020204030204" pitchFamily="34" charset="0"/>
            <a:ea typeface="Calibri" panose="020F0502020204030204" pitchFamily="34" charset="0"/>
            <a:cs typeface="Times New Roman" panose="02020603050405020304" pitchFamily="18" charset="0"/>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0</xdr:row>
      <xdr:rowOff>57149</xdr:rowOff>
    </xdr:from>
    <xdr:to>
      <xdr:col>11</xdr:col>
      <xdr:colOff>352425</xdr:colOff>
      <xdr:row>47</xdr:row>
      <xdr:rowOff>152399</xdr:rowOff>
    </xdr:to>
    <xdr:sp macro="" textlink="">
      <xdr:nvSpPr>
        <xdr:cNvPr id="6" name="TextBox 5">
          <a:extLst>
            <a:ext uri="{FF2B5EF4-FFF2-40B4-BE49-F238E27FC236}">
              <a16:creationId xmlns:a16="http://schemas.microsoft.com/office/drawing/2014/main" id="{1531D12E-A43F-4EB7-B0CC-C007753B690C}"/>
            </a:ext>
          </a:extLst>
        </xdr:cNvPr>
        <xdr:cNvSpPr txBox="1"/>
      </xdr:nvSpPr>
      <xdr:spPr>
        <a:xfrm>
          <a:off x="9067800" y="57149"/>
          <a:ext cx="2752725" cy="9782175"/>
        </a:xfrm>
        <a:prstGeom prst="rect">
          <a:avLst/>
        </a:prstGeom>
        <a:solidFill>
          <a:schemeClr val="lt1"/>
        </a:solidFill>
        <a:ln w="15875"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Assumptions:</a:t>
          </a:r>
        </a:p>
        <a:p>
          <a:endParaRPr lang="en-AU" sz="1100"/>
        </a:p>
        <a:p>
          <a:r>
            <a:rPr lang="en-AU" sz="1100"/>
            <a:t>Doctors</a:t>
          </a:r>
          <a:r>
            <a:rPr lang="en-AU" sz="1100" baseline="0"/>
            <a:t> work </a:t>
          </a:r>
          <a:r>
            <a:rPr lang="en-AU" sz="1100"/>
            <a:t>40 hours per week</a:t>
          </a:r>
        </a:p>
        <a:p>
          <a:endParaRPr lang="en-AU" sz="1100"/>
        </a:p>
        <a:p>
          <a:r>
            <a:rPr lang="en-AU" sz="1100"/>
            <a:t>Each</a:t>
          </a:r>
          <a:r>
            <a:rPr lang="en-AU" sz="1100" baseline="0"/>
            <a:t> doctor works 43 weeks per annum, or 204 work days excluding weekends and public holidays.  A  reliever works a further 30 days (6 weeks)  </a:t>
          </a:r>
        </a:p>
        <a:p>
          <a:endParaRPr lang="en-AU" sz="1100" baseline="0"/>
        </a:p>
        <a:p>
          <a:r>
            <a:rPr lang="en-AU" sz="1100"/>
            <a:t>Includes</a:t>
          </a:r>
          <a:r>
            <a:rPr lang="en-AU" sz="1100" baseline="0"/>
            <a:t> a</a:t>
          </a:r>
          <a:r>
            <a:rPr lang="en-AU" sz="1100"/>
            <a:t>nnualised</a:t>
          </a:r>
          <a:r>
            <a:rPr lang="en-AU" sz="1100" baseline="0"/>
            <a:t>  shift allowances, Recall costs as incurred (not included)</a:t>
          </a:r>
        </a:p>
        <a:p>
          <a:endParaRPr lang="en-AU" sz="1100" baseline="0"/>
        </a:p>
        <a:p>
          <a:r>
            <a:rPr lang="en-AU" sz="1100" baseline="0"/>
            <a:t>Clinical management allowances are not included.</a:t>
          </a:r>
        </a:p>
        <a:p>
          <a:endParaRPr lang="en-AU" sz="1100" baseline="0"/>
        </a:p>
        <a:p>
          <a:r>
            <a:rPr lang="en-AU" sz="1100" baseline="0"/>
            <a:t>Minor differences will apply in costs between specific locations.</a:t>
          </a:r>
        </a:p>
        <a:p>
          <a:endParaRPr lang="en-AU">
            <a:effectLst/>
          </a:endParaRPr>
        </a:p>
        <a:p>
          <a:r>
            <a:rPr lang="en-AU" sz="1100" baseline="0">
              <a:solidFill>
                <a:schemeClr val="dk1"/>
              </a:solidFill>
              <a:effectLst/>
              <a:latin typeface="+mn-lt"/>
              <a:ea typeface="+mn-ea"/>
              <a:cs typeface="+mn-cs"/>
            </a:rPr>
            <a:t>15% on-costs includes:  9.6% RL and 2.8% LSL (leave relief) and 1.5% Workcover</a:t>
          </a:r>
          <a:endParaRPr lang="en-AU">
            <a:effectLst/>
          </a:endParaRPr>
        </a:p>
        <a:p>
          <a:endParaRPr lang="en-AU" sz="1100" baseline="0"/>
        </a:p>
        <a:p>
          <a:r>
            <a:rPr lang="en-AU" sz="1100" u="sng" baseline="0"/>
            <a:t>All cases</a:t>
          </a:r>
          <a:r>
            <a:rPr lang="en-AU" sz="1100" u="none" baseline="0"/>
            <a:t>  assume </a:t>
          </a:r>
          <a:r>
            <a:rPr lang="en-AU" sz="1100" baseline="0"/>
            <a:t>the HHS is providing the practice management service.  Usually, MPPPs operate their own practices.  MPPP may likely negotiate lower Facility / Service fees.</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MPPP will apply a mixed revenue model and charge fees to patients who are able to pay.   Potential for SMO models to do this as well</a:t>
          </a:r>
          <a:endParaRPr lang="en-AU" sz="1100" baseline="0"/>
        </a:p>
        <a:p>
          <a:endParaRPr lang="en-AU" sz="1100"/>
        </a:p>
        <a:p>
          <a:r>
            <a:rPr lang="en-AU" sz="1100" b="1"/>
            <a:t>Considerations:</a:t>
          </a:r>
        </a:p>
        <a:p>
          <a:endParaRPr lang="en-AU" sz="1100"/>
        </a:p>
        <a:p>
          <a:r>
            <a:rPr lang="en-AU" sz="1100"/>
            <a:t>Private GPs and MPPP are more likely to work longer hours and take fewer leave absences</a:t>
          </a:r>
        </a:p>
        <a:p>
          <a:endParaRPr lang="en-AU"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mn-lt"/>
              <a:ea typeface="+mn-ea"/>
              <a:cs typeface="+mn-cs"/>
            </a:rPr>
            <a:t>The facility/service fee applied to the SMO retained  option are set by the Fees and Charges Register per MBS Item - most GP Items are 25%.  An earnings cap applies for earnings above $210,000 after which the facility fee increases to 66.67%</a:t>
          </a:r>
          <a:endParaRPr lang="en-AU">
            <a:solidFill>
              <a:sysClr val="windowText" lastClr="000000"/>
            </a:solidFill>
            <a:effectLst/>
          </a:endParaRPr>
        </a:p>
        <a:p>
          <a:endParaRPr lang="en-AU" sz="1100"/>
        </a:p>
        <a:p>
          <a:r>
            <a:rPr lang="en-AU" sz="1100"/>
            <a:t>Efficient practices, optimising the scope of practice of  nurses or Indigenous health practitioners, will  allow more  patients to be seen per hour</a:t>
          </a:r>
        </a:p>
        <a:p>
          <a:endParaRPr lang="en-AU" sz="1100"/>
        </a:p>
        <a:p>
          <a:r>
            <a:rPr lang="en-AU" sz="1100"/>
            <a:t>Medical </a:t>
          </a:r>
          <a:r>
            <a:rPr lang="en-AU" sz="1100" baseline="0"/>
            <a:t>labour cost is usually already included in the hospital budget - net earnings reduce the cost to the hospital</a:t>
          </a:r>
        </a:p>
        <a:p>
          <a:endParaRPr lang="en-AU" sz="1100" baseline="0"/>
        </a:p>
        <a:p>
          <a:r>
            <a:rPr lang="en-AU" sz="1100" baseline="0"/>
            <a:t>Practice operational costs  (staff, POE and IT) have not been included here (see </a:t>
          </a:r>
          <a:r>
            <a:rPr lang="en-AU" sz="1100" b="1" baseline="0"/>
            <a:t>Practice Budget</a:t>
          </a:r>
          <a:r>
            <a:rPr lang="en-AU" sz="1100" baseline="0"/>
            <a:t> tab)</a:t>
          </a:r>
        </a:p>
      </xdr:txBody>
    </xdr:sp>
    <xdr:clientData/>
  </xdr:twoCellAnchor>
  <xdr:twoCellAnchor>
    <xdr:from>
      <xdr:col>3</xdr:col>
      <xdr:colOff>914400</xdr:colOff>
      <xdr:row>2</xdr:row>
      <xdr:rowOff>9525</xdr:rowOff>
    </xdr:from>
    <xdr:to>
      <xdr:col>6</xdr:col>
      <xdr:colOff>409575</xdr:colOff>
      <xdr:row>9</xdr:row>
      <xdr:rowOff>66675</xdr:rowOff>
    </xdr:to>
    <xdr:sp macro="" textlink="">
      <xdr:nvSpPr>
        <xdr:cNvPr id="2" name="TextBox 1">
          <a:extLst>
            <a:ext uri="{FF2B5EF4-FFF2-40B4-BE49-F238E27FC236}">
              <a16:creationId xmlns:a16="http://schemas.microsoft.com/office/drawing/2014/main" id="{C1F41DC6-ACC5-414B-A4B2-42F4011E4579}"/>
            </a:ext>
          </a:extLst>
        </xdr:cNvPr>
        <xdr:cNvSpPr txBox="1"/>
      </xdr:nvSpPr>
      <xdr:spPr>
        <a:xfrm>
          <a:off x="5257800" y="447675"/>
          <a:ext cx="2952750" cy="1447800"/>
        </a:xfrm>
        <a:prstGeom prst="rect">
          <a:avLst/>
        </a:prstGeom>
        <a:solidFill>
          <a:schemeClr val="lt1"/>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t>This tool can be used to consider  employment options and undertake</a:t>
          </a:r>
          <a:r>
            <a:rPr lang="en-AU" sz="1200" baseline="0"/>
            <a:t> a</a:t>
          </a:r>
          <a:r>
            <a:rPr lang="en-AU" sz="1200"/>
            <a:t> sensitivity analysis for the  best, most likely and worst case scenarios for earnings</a:t>
          </a:r>
          <a:r>
            <a:rPr lang="en-AU" sz="1200" baseline="0"/>
            <a:t> and net cost of labour</a:t>
          </a:r>
          <a:r>
            <a:rPr lang="en-AU" sz="1200"/>
            <a:t>.  The model is most sensitive to hourly appointments, % </a:t>
          </a:r>
          <a:r>
            <a:rPr lang="en-AU" sz="1200" baseline="0"/>
            <a:t>practice roster and billing days in private practice.</a:t>
          </a:r>
          <a:endParaRPr lang="en-AU"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22</xdr:row>
      <xdr:rowOff>114300</xdr:rowOff>
    </xdr:from>
    <xdr:to>
      <xdr:col>4</xdr:col>
      <xdr:colOff>314325</xdr:colOff>
      <xdr:row>37</xdr:row>
      <xdr:rowOff>123825</xdr:rowOff>
    </xdr:to>
    <xdr:cxnSp macro="">
      <xdr:nvCxnSpPr>
        <xdr:cNvPr id="5" name="Straight Connector 4">
          <a:extLst>
            <a:ext uri="{FF2B5EF4-FFF2-40B4-BE49-F238E27FC236}">
              <a16:creationId xmlns:a16="http://schemas.microsoft.com/office/drawing/2014/main" id="{239A65D8-882D-4D30-B164-FBF8D9314776}"/>
            </a:ext>
          </a:extLst>
        </xdr:cNvPr>
        <xdr:cNvCxnSpPr/>
      </xdr:nvCxnSpPr>
      <xdr:spPr>
        <a:xfrm>
          <a:off x="6457950" y="4352925"/>
          <a:ext cx="9525" cy="2867025"/>
        </a:xfrm>
        <a:prstGeom prst="line">
          <a:avLst/>
        </a:prstGeom>
        <a:ln>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19050</xdr:colOff>
      <xdr:row>22</xdr:row>
      <xdr:rowOff>104775</xdr:rowOff>
    </xdr:from>
    <xdr:to>
      <xdr:col>4</xdr:col>
      <xdr:colOff>304800</xdr:colOff>
      <xdr:row>22</xdr:row>
      <xdr:rowOff>104775</xdr:rowOff>
    </xdr:to>
    <xdr:cxnSp macro="">
      <xdr:nvCxnSpPr>
        <xdr:cNvPr id="7" name="Straight Arrow Connector 6">
          <a:extLst>
            <a:ext uri="{FF2B5EF4-FFF2-40B4-BE49-F238E27FC236}">
              <a16:creationId xmlns:a16="http://schemas.microsoft.com/office/drawing/2014/main" id="{062645BD-07E7-4363-9B9C-CBE35696F00E}"/>
            </a:ext>
          </a:extLst>
        </xdr:cNvPr>
        <xdr:cNvCxnSpPr/>
      </xdr:nvCxnSpPr>
      <xdr:spPr>
        <a:xfrm flipH="1">
          <a:off x="6172200" y="4343400"/>
          <a:ext cx="285750" cy="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37</xdr:row>
      <xdr:rowOff>114300</xdr:rowOff>
    </xdr:from>
    <xdr:to>
      <xdr:col>4</xdr:col>
      <xdr:colOff>323850</xdr:colOff>
      <xdr:row>37</xdr:row>
      <xdr:rowOff>114300</xdr:rowOff>
    </xdr:to>
    <xdr:cxnSp macro="">
      <xdr:nvCxnSpPr>
        <xdr:cNvPr id="9" name="Straight Arrow Connector 8">
          <a:extLst>
            <a:ext uri="{FF2B5EF4-FFF2-40B4-BE49-F238E27FC236}">
              <a16:creationId xmlns:a16="http://schemas.microsoft.com/office/drawing/2014/main" id="{388A9183-3A2D-4D76-AC37-15E22A830F38}"/>
            </a:ext>
          </a:extLst>
        </xdr:cNvPr>
        <xdr:cNvCxnSpPr/>
      </xdr:nvCxnSpPr>
      <xdr:spPr>
        <a:xfrm flipH="1">
          <a:off x="6191250" y="7400925"/>
          <a:ext cx="285750" cy="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0</xdr:row>
      <xdr:rowOff>9525</xdr:rowOff>
    </xdr:from>
    <xdr:to>
      <xdr:col>11</xdr:col>
      <xdr:colOff>257176</xdr:colOff>
      <xdr:row>39</xdr:row>
      <xdr:rowOff>180975</xdr:rowOff>
    </xdr:to>
    <xdr:sp macro="" textlink="">
      <xdr:nvSpPr>
        <xdr:cNvPr id="10" name="TextBox 9">
          <a:extLst>
            <a:ext uri="{FF2B5EF4-FFF2-40B4-BE49-F238E27FC236}">
              <a16:creationId xmlns:a16="http://schemas.microsoft.com/office/drawing/2014/main" id="{A6EF2AC4-0519-470A-9DEA-8F3A92199513}"/>
            </a:ext>
          </a:extLst>
        </xdr:cNvPr>
        <xdr:cNvSpPr txBox="1"/>
      </xdr:nvSpPr>
      <xdr:spPr>
        <a:xfrm>
          <a:off x="11229976" y="9525"/>
          <a:ext cx="2286000" cy="782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r>
            <a:rPr lang="en-AU" sz="1100" b="1"/>
            <a:t>Notes</a:t>
          </a:r>
        </a:p>
        <a:p>
          <a:endParaRPr lang="en-AU" sz="1100" b="1"/>
        </a:p>
        <a:p>
          <a:r>
            <a:rPr lang="en-AU" sz="1100"/>
            <a:t>This model</a:t>
          </a:r>
          <a:r>
            <a:rPr lang="en-AU" sz="1100" baseline="0"/>
            <a:t> can be used to frame a business case submission.   A more detailed budget can be developed when the project has been approved.</a:t>
          </a:r>
        </a:p>
        <a:p>
          <a:endParaRPr lang="en-AU" sz="1100" baseline="0"/>
        </a:p>
        <a:p>
          <a:r>
            <a:rPr lang="en-AU" sz="1100" baseline="0"/>
            <a:t>Medical costs are driven from the data in the </a:t>
          </a:r>
          <a:r>
            <a:rPr lang="en-AU" sz="1100" b="1" baseline="0"/>
            <a:t>Compare</a:t>
          </a:r>
          <a:r>
            <a:rPr lang="en-AU" sz="1100" baseline="0"/>
            <a:t> tab.</a:t>
          </a:r>
        </a:p>
        <a:p>
          <a:endParaRPr lang="en-AU" sz="1100"/>
        </a:p>
        <a:p>
          <a:r>
            <a:rPr lang="en-AU" sz="1100" baseline="0"/>
            <a:t>Practice location, population and SWPE affect the average consultation fee.  SWPE is the proportion of patients primary health care  delivered at this practice (some patients will  receive care from other practices).</a:t>
          </a:r>
        </a:p>
        <a:p>
          <a:endParaRPr lang="en-AU" sz="1100"/>
        </a:p>
        <a:p>
          <a:r>
            <a:rPr lang="en-AU" sz="1100"/>
            <a:t>Classification points can be changed in the 'Doctor salary build'</a:t>
          </a:r>
          <a:r>
            <a:rPr lang="en-AU" sz="1100" baseline="0"/>
            <a:t> tab if more senior doctors are engaged.  Rural generalists with several years of experience will usually be more proficient in general practice.</a:t>
          </a:r>
        </a:p>
        <a:p>
          <a:endParaRPr lang="en-AU" sz="1100" baseline="0"/>
        </a:p>
        <a:p>
          <a:r>
            <a:rPr lang="en-AU" sz="1100" baseline="0"/>
            <a:t>The practice staff profile is built in the 'Practice staff salary build' tab.  Staff numbers may be phased in to reflect a practice in start-up mode.</a:t>
          </a:r>
        </a:p>
        <a:p>
          <a:endParaRPr lang="en-AU" sz="1100" baseline="0"/>
        </a:p>
        <a:p>
          <a:r>
            <a:rPr lang="en-AU" sz="1100" baseline="0"/>
            <a:t>Practice expenses  could be based on the previous practice operators costs (where applicable).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7</xdr:row>
      <xdr:rowOff>0</xdr:rowOff>
    </xdr:from>
    <xdr:to>
      <xdr:col>12</xdr:col>
      <xdr:colOff>552450</xdr:colOff>
      <xdr:row>27</xdr:row>
      <xdr:rowOff>19050</xdr:rowOff>
    </xdr:to>
    <xdr:sp macro="" textlink="">
      <xdr:nvSpPr>
        <xdr:cNvPr id="2" name="TextBox 1">
          <a:extLst>
            <a:ext uri="{FF2B5EF4-FFF2-40B4-BE49-F238E27FC236}">
              <a16:creationId xmlns:a16="http://schemas.microsoft.com/office/drawing/2014/main" id="{5E6392CF-14D9-40F5-9D49-E40066EDB5AA}"/>
            </a:ext>
          </a:extLst>
        </xdr:cNvPr>
        <xdr:cNvSpPr txBox="1"/>
      </xdr:nvSpPr>
      <xdr:spPr>
        <a:xfrm>
          <a:off x="8905875" y="1695450"/>
          <a:ext cx="2638425" cy="671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Assumptions:</a:t>
          </a:r>
        </a:p>
        <a:p>
          <a:r>
            <a:rPr lang="en-AU" sz="1100"/>
            <a:t>SMOs </a:t>
          </a:r>
        </a:p>
        <a:p>
          <a:r>
            <a:rPr lang="en-AU" sz="1100"/>
            <a:t>- receive 6 weeks leave (RMO 5 weeks)</a:t>
          </a:r>
        </a:p>
        <a:p>
          <a:r>
            <a:rPr lang="en-AU" sz="1100"/>
            <a:t>- Shift/on-call is annualised</a:t>
          </a:r>
          <a:r>
            <a:rPr lang="en-AU" sz="1100" baseline="0"/>
            <a:t> into salary @ 12.03%</a:t>
          </a:r>
        </a:p>
        <a:p>
          <a:r>
            <a:rPr lang="en-AU" sz="1100"/>
            <a:t>- Recall</a:t>
          </a:r>
          <a:r>
            <a:rPr lang="en-AU" sz="1100" baseline="0"/>
            <a:t> as incurred (hospital expense) and is  excluded.</a:t>
          </a:r>
        </a:p>
        <a:p>
          <a:endParaRPr lang="en-AU" sz="1100">
            <a:solidFill>
              <a:sysClr val="windowText" lastClr="000000"/>
            </a:solidFill>
          </a:endParaRPr>
        </a:p>
        <a:p>
          <a:r>
            <a:rPr lang="en-AU" sz="1100">
              <a:solidFill>
                <a:sysClr val="windowText" lastClr="000000"/>
              </a:solidFill>
            </a:rPr>
            <a:t>MPPP:</a:t>
          </a:r>
        </a:p>
        <a:p>
          <a:r>
            <a:rPr lang="en-AU" sz="1100">
              <a:solidFill>
                <a:sysClr val="windowText" lastClr="000000"/>
              </a:solidFill>
            </a:rPr>
            <a:t>- Exception</a:t>
          </a:r>
          <a:r>
            <a:rPr lang="en-AU" sz="1100" baseline="0">
              <a:solidFill>
                <a:sysClr val="windowText" lastClr="000000"/>
              </a:solidFill>
            </a:rPr>
            <a:t> payments associated with the cancellation of a private practice session due to hospital recall is excluded  (hospital expense). </a:t>
          </a:r>
        </a:p>
        <a:p>
          <a:endParaRPr lang="en-AU" sz="1100">
            <a:solidFill>
              <a:sysClr val="windowText" lastClr="000000"/>
            </a:solidFill>
          </a:endParaRPr>
        </a:p>
        <a:p>
          <a:r>
            <a:rPr lang="en-AU" sz="1100">
              <a:solidFill>
                <a:sysClr val="windowText" lastClr="000000"/>
              </a:solidFill>
            </a:rPr>
            <a:t>PHO/RMO:</a:t>
          </a:r>
        </a:p>
        <a:p>
          <a:r>
            <a:rPr lang="en-AU" sz="1100">
              <a:solidFill>
                <a:sysClr val="windowText" lastClr="000000"/>
              </a:solidFill>
            </a:rPr>
            <a:t>- 5 weeks leave per annum</a:t>
          </a:r>
        </a:p>
        <a:p>
          <a:r>
            <a:rPr lang="en-AU" sz="1100">
              <a:solidFill>
                <a:sysClr val="windowText" lastClr="000000"/>
              </a:solidFill>
            </a:rPr>
            <a:t>- do not receive MV</a:t>
          </a:r>
          <a:r>
            <a:rPr lang="en-AU" sz="1100" baseline="0">
              <a:solidFill>
                <a:sysClr val="windowText" lastClr="000000"/>
              </a:solidFill>
            </a:rPr>
            <a:t> allowances</a:t>
          </a:r>
        </a:p>
        <a:p>
          <a:r>
            <a:rPr lang="en-AU" sz="1100" baseline="0">
              <a:solidFill>
                <a:sysClr val="windowText" lastClr="000000"/>
              </a:solidFill>
            </a:rPr>
            <a:t>- do not receive attraction and retention allowance</a:t>
          </a:r>
        </a:p>
        <a:p>
          <a:r>
            <a:rPr lang="en-AU" sz="1100" baseline="0">
              <a:solidFill>
                <a:sysClr val="windowText" lastClr="000000"/>
              </a:solidFill>
            </a:rPr>
            <a:t>- shift/on-call and recall excluded (hospital expense).</a:t>
          </a:r>
        </a:p>
        <a:p>
          <a:endParaRPr lang="en-AU" sz="1100">
            <a:solidFill>
              <a:sysClr val="windowText" lastClr="000000"/>
            </a:solidFill>
          </a:endParaRPr>
        </a:p>
        <a:p>
          <a:r>
            <a:rPr lang="en-AU" sz="1100">
              <a:solidFill>
                <a:sysClr val="windowText" lastClr="000000"/>
              </a:solidFill>
            </a:rPr>
            <a:t>Attraction and Retention  allowance  rate assumes  SMOs participating in private practice </a:t>
          </a:r>
          <a:r>
            <a:rPr lang="en-AU" sz="1100" baseline="0">
              <a:solidFill>
                <a:sysClr val="windowText" lastClr="000000"/>
              </a:solidFill>
            </a:rPr>
            <a:t> are Rural Generalists.</a:t>
          </a:r>
        </a:p>
        <a:p>
          <a:endParaRPr lang="en-AU" sz="1100">
            <a:solidFill>
              <a:sysClr val="windowText" lastClr="000000"/>
            </a:solidFill>
          </a:endParaRPr>
        </a:p>
        <a:p>
          <a:r>
            <a:rPr lang="en-AU" sz="1100">
              <a:solidFill>
                <a:sysClr val="windowText" lastClr="000000"/>
              </a:solidFill>
            </a:rPr>
            <a:t>Medical management </a:t>
          </a:r>
          <a:r>
            <a:rPr lang="en-AU" sz="1100"/>
            <a:t>and clinical management allowances not</a:t>
          </a:r>
          <a:r>
            <a:rPr lang="en-AU" sz="1100" baseline="0"/>
            <a:t> considered .</a:t>
          </a:r>
        </a:p>
        <a:p>
          <a:endParaRPr lang="en-AU" sz="1100" baseline="0"/>
        </a:p>
        <a:p>
          <a:r>
            <a:rPr lang="en-AU" sz="1100" baseline="0"/>
            <a:t>Super calculated on Method 1 - 12.75% of base salary</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Provisions for recreation  and LSL leave  finance backfill</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mn-lt"/>
              <a:ea typeface="+mn-ea"/>
              <a:cs typeface="+mn-cs"/>
            </a:rPr>
            <a:t>Locailty allowances not included (widely variable)</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mn-lt"/>
              <a:ea typeface="+mn-ea"/>
              <a:cs typeface="+mn-cs"/>
            </a:rPr>
            <a:t>Estimate shift and penalties for PHOs calculate @ 12%</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xdr:txBody>
    </xdr:sp>
    <xdr:clientData/>
  </xdr:twoCellAnchor>
  <xdr:twoCellAnchor>
    <xdr:from>
      <xdr:col>18</xdr:col>
      <xdr:colOff>2000251</xdr:colOff>
      <xdr:row>27</xdr:row>
      <xdr:rowOff>0</xdr:rowOff>
    </xdr:from>
    <xdr:to>
      <xdr:col>21</xdr:col>
      <xdr:colOff>352425</xdr:colOff>
      <xdr:row>36</xdr:row>
      <xdr:rowOff>180975</xdr:rowOff>
    </xdr:to>
    <xdr:sp macro="" textlink="">
      <xdr:nvSpPr>
        <xdr:cNvPr id="3" name="TextBox 2">
          <a:extLst>
            <a:ext uri="{FF2B5EF4-FFF2-40B4-BE49-F238E27FC236}">
              <a16:creationId xmlns:a16="http://schemas.microsoft.com/office/drawing/2014/main" id="{D0C4497D-C24C-409F-A972-648DDEFC9416}"/>
            </a:ext>
          </a:extLst>
        </xdr:cNvPr>
        <xdr:cNvSpPr txBox="1"/>
      </xdr:nvSpPr>
      <xdr:spPr>
        <a:xfrm>
          <a:off x="16649701" y="8391525"/>
          <a:ext cx="1838324" cy="2047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Motor Vehicle Allowance</a:t>
          </a:r>
        </a:p>
        <a:p>
          <a:r>
            <a:rPr lang="en-AU" sz="1000"/>
            <a:t>MOCA6 Cl 12.34</a:t>
          </a:r>
        </a:p>
        <a:p>
          <a:endParaRPr lang="en-AU" sz="1000"/>
        </a:p>
        <a:p>
          <a:r>
            <a:rPr lang="en-AU" sz="1000" baseline="0"/>
            <a:t>$25,500 - L25 to 28</a:t>
          </a:r>
        </a:p>
        <a:p>
          <a:r>
            <a:rPr lang="en-AU" sz="1000" baseline="0"/>
            <a:t>                - Med Sup with MMA6</a:t>
          </a:r>
        </a:p>
        <a:p>
          <a:endParaRPr lang="en-AU" sz="1000" baseline="0"/>
        </a:p>
        <a:p>
          <a:r>
            <a:rPr lang="en-AU" sz="1000" baseline="0"/>
            <a:t>$21,000 - L13 to 24</a:t>
          </a:r>
        </a:p>
        <a:p>
          <a:endParaRPr lang="en-AU" sz="1000"/>
        </a:p>
        <a:p>
          <a:r>
            <a:rPr lang="en-AU" sz="1000"/>
            <a:t>Reduced part time rate at discretion of HSCE, minimu</a:t>
          </a:r>
          <a:r>
            <a:rPr lang="en-AU" sz="1000" baseline="0"/>
            <a:t>m 0.5 FTE.  </a:t>
          </a:r>
          <a:endParaRPr lang="en-AU" sz="1000">
            <a:solidFill>
              <a:srgbClr val="FF0000"/>
            </a:solidFill>
          </a:endParaRPr>
        </a:p>
      </xdr:txBody>
    </xdr:sp>
    <xdr:clientData/>
  </xdr:twoCellAnchor>
  <xdr:twoCellAnchor>
    <xdr:from>
      <xdr:col>18</xdr:col>
      <xdr:colOff>0</xdr:colOff>
      <xdr:row>27</xdr:row>
      <xdr:rowOff>0</xdr:rowOff>
    </xdr:from>
    <xdr:to>
      <xdr:col>18</xdr:col>
      <xdr:colOff>1838324</xdr:colOff>
      <xdr:row>36</xdr:row>
      <xdr:rowOff>180975</xdr:rowOff>
    </xdr:to>
    <xdr:sp macro="" textlink="">
      <xdr:nvSpPr>
        <xdr:cNvPr id="4" name="TextBox 3">
          <a:extLst>
            <a:ext uri="{FF2B5EF4-FFF2-40B4-BE49-F238E27FC236}">
              <a16:creationId xmlns:a16="http://schemas.microsoft.com/office/drawing/2014/main" id="{40FE8C80-091C-429D-80EF-35FA4A9B65C6}"/>
            </a:ext>
          </a:extLst>
        </xdr:cNvPr>
        <xdr:cNvSpPr txBox="1"/>
      </xdr:nvSpPr>
      <xdr:spPr>
        <a:xfrm>
          <a:off x="14649450" y="8391525"/>
          <a:ext cx="1838324" cy="2047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Professional Development</a:t>
          </a:r>
        </a:p>
        <a:p>
          <a:r>
            <a:rPr lang="en-AU" sz="1000"/>
            <a:t>MOCA6 Cl 7.2.1</a:t>
          </a:r>
        </a:p>
        <a:p>
          <a:r>
            <a:rPr lang="en-AU" sz="1000"/>
            <a:t>Table 1.5 and 1.6 (from 1/7/23)</a:t>
          </a:r>
        </a:p>
        <a:p>
          <a:endParaRPr lang="en-AU" sz="1000"/>
        </a:p>
        <a:p>
          <a:r>
            <a:rPr lang="en-AU" sz="1000" baseline="0"/>
            <a:t>$4,274  - RMO voc training</a:t>
          </a:r>
        </a:p>
        <a:p>
          <a:r>
            <a:rPr lang="en-AU" sz="1000" baseline="0"/>
            <a:t>$2,563 - RMO other</a:t>
          </a:r>
        </a:p>
        <a:p>
          <a:endParaRPr lang="en-AU" sz="1000" baseline="0"/>
        </a:p>
        <a:p>
          <a:r>
            <a:rPr lang="en-AU" sz="1000" baseline="0"/>
            <a:t>$21,500 - SMO</a:t>
          </a:r>
        </a:p>
      </xdr:txBody>
    </xdr:sp>
    <xdr:clientData/>
  </xdr:twoCellAnchor>
  <xdr:twoCellAnchor>
    <xdr:from>
      <xdr:col>21</xdr:col>
      <xdr:colOff>523876</xdr:colOff>
      <xdr:row>27</xdr:row>
      <xdr:rowOff>0</xdr:rowOff>
    </xdr:from>
    <xdr:to>
      <xdr:col>24</xdr:col>
      <xdr:colOff>161925</xdr:colOff>
      <xdr:row>36</xdr:row>
      <xdr:rowOff>180975</xdr:rowOff>
    </xdr:to>
    <xdr:sp macro="" textlink="">
      <xdr:nvSpPr>
        <xdr:cNvPr id="5" name="TextBox 4">
          <a:extLst>
            <a:ext uri="{FF2B5EF4-FFF2-40B4-BE49-F238E27FC236}">
              <a16:creationId xmlns:a16="http://schemas.microsoft.com/office/drawing/2014/main" id="{1249EF12-D899-4BC2-9F3C-72884FC13C2F}"/>
            </a:ext>
          </a:extLst>
        </xdr:cNvPr>
        <xdr:cNvSpPr txBox="1"/>
      </xdr:nvSpPr>
      <xdr:spPr>
        <a:xfrm>
          <a:off x="18659476" y="8391525"/>
          <a:ext cx="1838324" cy="20478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Regional &amp; Remote Allowance</a:t>
          </a:r>
        </a:p>
        <a:p>
          <a:r>
            <a:rPr lang="en-AU" sz="1000"/>
            <a:t>MOCA6</a:t>
          </a:r>
          <a:r>
            <a:rPr lang="en-AU" sz="1000" baseline="0"/>
            <a:t> Cl 12.28.2</a:t>
          </a:r>
          <a:endParaRPr lang="en-AU" sz="1000"/>
        </a:p>
        <a:p>
          <a:endParaRPr lang="en-AU" sz="1000"/>
        </a:p>
        <a:p>
          <a:pPr marL="0" marR="0" lvl="0" indent="0" defTabSz="914400" eaLnBrk="1" fontAlgn="auto" latinLnBrk="0" hangingPunct="1">
            <a:lnSpc>
              <a:spcPct val="100000"/>
            </a:lnSpc>
            <a:spcBef>
              <a:spcPts val="0"/>
            </a:spcBef>
            <a:spcAft>
              <a:spcPts val="0"/>
            </a:spcAft>
            <a:buClrTx/>
            <a:buSzTx/>
            <a:buFontTx/>
            <a:buNone/>
            <a:tabLst/>
            <a:defRPr/>
          </a:pPr>
          <a:r>
            <a:rPr lang="en-AU" sz="1000" baseline="0">
              <a:solidFill>
                <a:schemeClr val="dk1"/>
              </a:solidFill>
              <a:latin typeface="+mn-lt"/>
              <a:ea typeface="+mn-ea"/>
              <a:cs typeface="+mn-cs"/>
            </a:rPr>
            <a:t>Additional to recruitment and retention allowance:</a:t>
          </a:r>
        </a:p>
        <a:p>
          <a:endParaRPr lang="en-AU" sz="1000" baseline="0"/>
        </a:p>
        <a:p>
          <a:r>
            <a:rPr lang="en-AU" sz="1000" baseline="0"/>
            <a:t>5% base -   Cairns, TV, DD</a:t>
          </a:r>
        </a:p>
        <a:p>
          <a:r>
            <a:rPr lang="en-AU" sz="1000" baseline="0"/>
            <a:t>10% base - Palm, CW, CQ, WB,</a:t>
          </a:r>
        </a:p>
        <a:p>
          <a:r>
            <a:rPr lang="en-AU" sz="1000" baseline="0"/>
            <a:t>                     and SW</a:t>
          </a:r>
        </a:p>
        <a:p>
          <a:r>
            <a:rPr lang="en-AU" sz="1000" baseline="0"/>
            <a:t>15% base - T&amp;C, NW</a:t>
          </a:r>
          <a:endParaRPr lang="en-AU" sz="1000"/>
        </a:p>
      </xdr:txBody>
    </xdr:sp>
    <xdr:clientData/>
  </xdr:twoCellAnchor>
  <xdr:twoCellAnchor>
    <xdr:from>
      <xdr:col>24</xdr:col>
      <xdr:colOff>361950</xdr:colOff>
      <xdr:row>27</xdr:row>
      <xdr:rowOff>9525</xdr:rowOff>
    </xdr:from>
    <xdr:to>
      <xdr:col>26</xdr:col>
      <xdr:colOff>733424</xdr:colOff>
      <xdr:row>40</xdr:row>
      <xdr:rowOff>161925</xdr:rowOff>
    </xdr:to>
    <xdr:sp macro="" textlink="">
      <xdr:nvSpPr>
        <xdr:cNvPr id="6" name="TextBox 5">
          <a:extLst>
            <a:ext uri="{FF2B5EF4-FFF2-40B4-BE49-F238E27FC236}">
              <a16:creationId xmlns:a16="http://schemas.microsoft.com/office/drawing/2014/main" id="{2BC819D1-4300-4A2D-A60E-093F2A62BFC4}"/>
            </a:ext>
          </a:extLst>
        </xdr:cNvPr>
        <xdr:cNvSpPr txBox="1"/>
      </xdr:nvSpPr>
      <xdr:spPr>
        <a:xfrm>
          <a:off x="20697825" y="8401050"/>
          <a:ext cx="1838324" cy="2781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Attraction</a:t>
          </a:r>
          <a:r>
            <a:rPr lang="en-AU" sz="1000" b="1" baseline="0"/>
            <a:t> and Retention Allow</a:t>
          </a:r>
          <a:endParaRPr lang="en-AU" sz="1000" b="1"/>
        </a:p>
        <a:p>
          <a:r>
            <a:rPr lang="en-AU" sz="1000" baseline="0">
              <a:solidFill>
                <a:schemeClr val="dk1"/>
              </a:solidFill>
              <a:latin typeface="+mn-lt"/>
              <a:ea typeface="+mn-ea"/>
              <a:cs typeface="+mn-cs"/>
            </a:rPr>
            <a:t>MOCA6 Cl 12.28.1</a:t>
          </a:r>
        </a:p>
        <a:p>
          <a:endParaRPr lang="en-AU" sz="1000" baseline="0">
            <a:solidFill>
              <a:schemeClr val="dk1"/>
            </a:solidFill>
            <a:latin typeface="+mn-lt"/>
            <a:ea typeface="+mn-ea"/>
            <a:cs typeface="+mn-cs"/>
          </a:endParaRPr>
        </a:p>
        <a:p>
          <a:r>
            <a:rPr lang="en-AU" sz="1000" baseline="0">
              <a:solidFill>
                <a:schemeClr val="dk1"/>
              </a:solidFill>
              <a:latin typeface="+mn-lt"/>
              <a:ea typeface="+mn-ea"/>
              <a:cs typeface="+mn-cs"/>
            </a:rPr>
            <a:t>Specialists (excl specialist GP) </a:t>
          </a:r>
          <a:endParaRPr lang="en-AU" sz="1000" baseline="0"/>
        </a:p>
        <a:p>
          <a:r>
            <a:rPr lang="en-AU" sz="1000" baseline="0"/>
            <a:t>50% base salary for Assigned</a:t>
          </a:r>
        </a:p>
        <a:p>
          <a:endParaRPr lang="en-AU" sz="1000" baseline="0"/>
        </a:p>
        <a:p>
          <a:r>
            <a:rPr lang="en-AU" sz="1000" baseline="0"/>
            <a:t>GP Specialists and SMOs advanced credentialed rural generalist</a:t>
          </a:r>
        </a:p>
        <a:p>
          <a:r>
            <a:rPr lang="en-AU" sz="1000" baseline="0"/>
            <a:t>40% base salary for Assigned</a:t>
          </a:r>
        </a:p>
        <a:p>
          <a:endParaRPr lang="en-AU" sz="1000" baseline="0"/>
        </a:p>
        <a:p>
          <a:r>
            <a:rPr lang="en-AU" sz="1000" baseline="0"/>
            <a:t>GP specialist and SMOs</a:t>
          </a:r>
        </a:p>
        <a:p>
          <a:r>
            <a:rPr lang="en-AU" sz="1000" baseline="0"/>
            <a:t>35% base salary for Assigned</a:t>
          </a:r>
        </a:p>
        <a:p>
          <a:endParaRPr lang="en-AU" sz="1000" baseline="0"/>
        </a:p>
        <a:p>
          <a:r>
            <a:rPr lang="en-AU" sz="1000" baseline="0"/>
            <a:t>- 25% base salary if Retained</a:t>
          </a:r>
        </a:p>
        <a:p>
          <a:r>
            <a:rPr lang="en-AU" sz="1000" baseline="0"/>
            <a:t>- 25% for no GPPA or revoked GPPA</a:t>
          </a:r>
          <a:endParaRPr lang="en-AU" sz="1000"/>
        </a:p>
      </xdr:txBody>
    </xdr:sp>
    <xdr:clientData/>
  </xdr:twoCellAnchor>
  <xdr:twoCellAnchor>
    <xdr:from>
      <xdr:col>27</xdr:col>
      <xdr:colOff>209550</xdr:colOff>
      <xdr:row>27</xdr:row>
      <xdr:rowOff>19050</xdr:rowOff>
    </xdr:from>
    <xdr:to>
      <xdr:col>29</xdr:col>
      <xdr:colOff>581024</xdr:colOff>
      <xdr:row>36</xdr:row>
      <xdr:rowOff>85725</xdr:rowOff>
    </xdr:to>
    <xdr:sp macro="" textlink="">
      <xdr:nvSpPr>
        <xdr:cNvPr id="7" name="TextBox 6">
          <a:extLst>
            <a:ext uri="{FF2B5EF4-FFF2-40B4-BE49-F238E27FC236}">
              <a16:creationId xmlns:a16="http://schemas.microsoft.com/office/drawing/2014/main" id="{489AAD9D-52B6-4525-AD83-4974DD921D81}"/>
            </a:ext>
          </a:extLst>
        </xdr:cNvPr>
        <xdr:cNvSpPr txBox="1"/>
      </xdr:nvSpPr>
      <xdr:spPr>
        <a:xfrm>
          <a:off x="23298150" y="6219825"/>
          <a:ext cx="1838324" cy="1933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Inaccessibility</a:t>
          </a:r>
          <a:r>
            <a:rPr lang="en-AU" sz="1000" b="1" baseline="0"/>
            <a:t> Allowance</a:t>
          </a:r>
          <a:endParaRPr lang="en-AU" sz="1000" b="1"/>
        </a:p>
        <a:p>
          <a:r>
            <a:rPr lang="en-AU" sz="1000"/>
            <a:t>MOCA6</a:t>
          </a:r>
          <a:r>
            <a:rPr lang="en-AU" sz="1000" baseline="0"/>
            <a:t> Cll 8.1.1</a:t>
          </a:r>
        </a:p>
        <a:p>
          <a:endParaRPr lang="en-AU" sz="1000" baseline="0">
            <a:solidFill>
              <a:schemeClr val="dk1"/>
            </a:solidFill>
            <a:effectLst/>
            <a:latin typeface="+mn-lt"/>
            <a:ea typeface="+mn-ea"/>
            <a:cs typeface="+mn-cs"/>
          </a:endParaRPr>
        </a:p>
        <a:p>
          <a:r>
            <a:rPr lang="en-AU" sz="1000" baseline="0">
              <a:solidFill>
                <a:schemeClr val="dk1"/>
              </a:solidFill>
              <a:effectLst/>
              <a:latin typeface="+mn-lt"/>
              <a:ea typeface="+mn-ea"/>
              <a:cs typeface="+mn-cs"/>
            </a:rPr>
            <a:t>Cat 1 - $48,300</a:t>
          </a:r>
        </a:p>
        <a:p>
          <a:r>
            <a:rPr lang="en-AU" sz="1000" baseline="0">
              <a:solidFill>
                <a:schemeClr val="dk1"/>
              </a:solidFill>
              <a:effectLst/>
              <a:latin typeface="+mn-lt"/>
              <a:ea typeface="+mn-ea"/>
              <a:cs typeface="+mn-cs"/>
            </a:rPr>
            <a:t>Cat 2 - $41,400</a:t>
          </a:r>
        </a:p>
        <a:p>
          <a:r>
            <a:rPr lang="en-AU" sz="1000" baseline="0">
              <a:solidFill>
                <a:schemeClr val="dk1"/>
              </a:solidFill>
              <a:effectLst/>
              <a:latin typeface="+mn-lt"/>
              <a:ea typeface="+mn-ea"/>
              <a:cs typeface="+mn-cs"/>
            </a:rPr>
            <a:t>Cat 3 - $34,500</a:t>
          </a:r>
        </a:p>
        <a:p>
          <a:r>
            <a:rPr lang="en-AU" sz="1000" baseline="0">
              <a:solidFill>
                <a:schemeClr val="dk1"/>
              </a:solidFill>
              <a:effectLst/>
              <a:latin typeface="+mn-lt"/>
              <a:ea typeface="+mn-ea"/>
              <a:cs typeface="+mn-cs"/>
            </a:rPr>
            <a:t>Cat 4 - $27,600</a:t>
          </a:r>
        </a:p>
        <a:p>
          <a:r>
            <a:rPr lang="en-AU" sz="1000" baseline="0">
              <a:solidFill>
                <a:schemeClr val="dk1"/>
              </a:solidFill>
              <a:effectLst/>
              <a:latin typeface="+mn-lt"/>
              <a:ea typeface="+mn-ea"/>
              <a:cs typeface="+mn-cs"/>
            </a:rPr>
            <a:t>Cat 5 - $20,700</a:t>
          </a:r>
        </a:p>
        <a:p>
          <a:r>
            <a:rPr lang="en-AU" sz="1000" baseline="0">
              <a:solidFill>
                <a:schemeClr val="dk1"/>
              </a:solidFill>
              <a:effectLst/>
              <a:latin typeface="+mn-lt"/>
              <a:ea typeface="+mn-ea"/>
              <a:cs typeface="+mn-cs"/>
            </a:rPr>
            <a:t>Cat 6 - $13,800</a:t>
          </a:r>
        </a:p>
        <a:p>
          <a:r>
            <a:rPr lang="en-AU" sz="1000" baseline="0">
              <a:solidFill>
                <a:schemeClr val="dk1"/>
              </a:solidFill>
              <a:effectLst/>
              <a:latin typeface="+mn-lt"/>
              <a:ea typeface="+mn-ea"/>
              <a:cs typeface="+mn-cs"/>
            </a:rPr>
            <a:t>Cat 7 - 6,900</a:t>
          </a:r>
          <a:endParaRPr lang="en-US" sz="1100">
            <a:solidFill>
              <a:schemeClr val="dk1"/>
            </a:solidFill>
            <a:effectLst/>
            <a:latin typeface="+mn-lt"/>
            <a:ea typeface="+mn-ea"/>
            <a:cs typeface="+mn-cs"/>
          </a:endParaRPr>
        </a:p>
      </xdr:txBody>
    </xdr:sp>
    <xdr:clientData/>
  </xdr:twoCellAnchor>
  <xdr:twoCellAnchor>
    <xdr:from>
      <xdr:col>30</xdr:col>
      <xdr:colOff>228600</xdr:colOff>
      <xdr:row>27</xdr:row>
      <xdr:rowOff>19050</xdr:rowOff>
    </xdr:from>
    <xdr:to>
      <xdr:col>32</xdr:col>
      <xdr:colOff>600074</xdr:colOff>
      <xdr:row>37</xdr:row>
      <xdr:rowOff>104775</xdr:rowOff>
    </xdr:to>
    <xdr:sp macro="" textlink="">
      <xdr:nvSpPr>
        <xdr:cNvPr id="8" name="TextBox 7">
          <a:extLst>
            <a:ext uri="{FF2B5EF4-FFF2-40B4-BE49-F238E27FC236}">
              <a16:creationId xmlns:a16="http://schemas.microsoft.com/office/drawing/2014/main" id="{8DA2EE7D-5A21-4628-B27C-A701FF7277E1}"/>
            </a:ext>
          </a:extLst>
        </xdr:cNvPr>
        <xdr:cNvSpPr txBox="1"/>
      </xdr:nvSpPr>
      <xdr:spPr>
        <a:xfrm>
          <a:off x="24965025" y="8410575"/>
          <a:ext cx="1838324" cy="21431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Clinical Managers</a:t>
          </a:r>
          <a:r>
            <a:rPr lang="en-AU" sz="1000" b="1" baseline="0"/>
            <a:t> Allowance</a:t>
          </a:r>
          <a:endParaRPr lang="en-AU" sz="1000" b="1"/>
        </a:p>
        <a:p>
          <a:r>
            <a:rPr lang="en-AU" sz="1000"/>
            <a:t>MOCA6 Cl</a:t>
          </a:r>
          <a:r>
            <a:rPr lang="en-AU" sz="1000" baseline="0"/>
            <a:t> 2.12 &amp; Sched 1</a:t>
          </a:r>
        </a:p>
        <a:p>
          <a:endParaRPr lang="en-AU" sz="1000" baseline="0">
            <a:solidFill>
              <a:schemeClr val="dk1"/>
            </a:solidFill>
            <a:effectLst/>
            <a:latin typeface="+mn-lt"/>
            <a:ea typeface="+mn-ea"/>
            <a:cs typeface="+mn-cs"/>
          </a:endParaRPr>
        </a:p>
        <a:p>
          <a:r>
            <a:rPr lang="en-AU" sz="1000" baseline="0">
              <a:solidFill>
                <a:schemeClr val="dk1"/>
              </a:solidFill>
              <a:effectLst/>
              <a:latin typeface="+mn-lt"/>
              <a:ea typeface="+mn-ea"/>
              <a:cs typeface="+mn-cs"/>
            </a:rPr>
            <a:t>CM1 - $8,416</a:t>
          </a:r>
        </a:p>
        <a:p>
          <a:r>
            <a:rPr lang="en-AU" sz="1000" baseline="0">
              <a:solidFill>
                <a:schemeClr val="dk1"/>
              </a:solidFill>
              <a:effectLst/>
              <a:latin typeface="+mn-lt"/>
              <a:ea typeface="+mn-ea"/>
              <a:cs typeface="+mn-cs"/>
            </a:rPr>
            <a:t>CM2 - $12,619</a:t>
          </a:r>
        </a:p>
        <a:p>
          <a:r>
            <a:rPr lang="en-AU" sz="1000" baseline="0">
              <a:solidFill>
                <a:schemeClr val="dk1"/>
              </a:solidFill>
              <a:effectLst/>
              <a:latin typeface="+mn-lt"/>
              <a:ea typeface="+mn-ea"/>
              <a:cs typeface="+mn-cs"/>
            </a:rPr>
            <a:t>CM3 - $16,828</a:t>
          </a:r>
        </a:p>
        <a:p>
          <a:r>
            <a:rPr lang="en-AU" sz="1000" baseline="0">
              <a:solidFill>
                <a:schemeClr val="dk1"/>
              </a:solidFill>
              <a:effectLst/>
              <a:latin typeface="+mn-lt"/>
              <a:ea typeface="+mn-ea"/>
              <a:cs typeface="+mn-cs"/>
            </a:rPr>
            <a:t>CM4 - $21,028</a:t>
          </a:r>
        </a:p>
        <a:p>
          <a:r>
            <a:rPr lang="en-AU" sz="1000" baseline="0">
              <a:solidFill>
                <a:schemeClr val="dk1"/>
              </a:solidFill>
              <a:effectLst/>
              <a:latin typeface="+mn-lt"/>
              <a:ea typeface="+mn-ea"/>
              <a:cs typeface="+mn-cs"/>
            </a:rPr>
            <a:t>CM5 - $25,244</a:t>
          </a:r>
        </a:p>
        <a:p>
          <a:r>
            <a:rPr lang="en-AU" sz="1000" baseline="0">
              <a:solidFill>
                <a:schemeClr val="dk1"/>
              </a:solidFill>
              <a:effectLst/>
              <a:latin typeface="+mn-lt"/>
              <a:ea typeface="+mn-ea"/>
              <a:cs typeface="+mn-cs"/>
            </a:rPr>
            <a:t>CM6 - $29,442</a:t>
          </a:r>
        </a:p>
        <a:p>
          <a:r>
            <a:rPr lang="en-AU" sz="1000" baseline="0">
              <a:solidFill>
                <a:schemeClr val="dk1"/>
              </a:solidFill>
              <a:effectLst/>
              <a:latin typeface="+mn-lt"/>
              <a:ea typeface="+mn-ea"/>
              <a:cs typeface="+mn-cs"/>
            </a:rPr>
            <a:t>CM7 - $33,660</a:t>
          </a:r>
        </a:p>
        <a:p>
          <a:endParaRPr lang="en-AU" sz="1000" baseline="0">
            <a:solidFill>
              <a:schemeClr val="dk1"/>
            </a:solidFill>
            <a:effectLst/>
            <a:latin typeface="+mn-lt"/>
            <a:ea typeface="+mn-ea"/>
            <a:cs typeface="+mn-cs"/>
          </a:endParaRPr>
        </a:p>
        <a:p>
          <a:r>
            <a:rPr lang="en-AU" sz="1000" baseline="0">
              <a:solidFill>
                <a:schemeClr val="dk1"/>
              </a:solidFill>
              <a:effectLst/>
              <a:latin typeface="+mn-lt"/>
              <a:ea typeface="+mn-ea"/>
              <a:cs typeface="+mn-cs"/>
            </a:rPr>
            <a:t>MSPPs are eligible for CMA1</a:t>
          </a:r>
        </a:p>
        <a:p>
          <a:r>
            <a:rPr lang="en-AU" sz="1000" baseline="0">
              <a:solidFill>
                <a:schemeClr val="dk1"/>
              </a:solidFill>
              <a:effectLst/>
              <a:latin typeface="+mn-lt"/>
              <a:ea typeface="+mn-ea"/>
              <a:cs typeface="+mn-cs"/>
            </a:rPr>
            <a:t>MOCA6 cl 2.9</a:t>
          </a:r>
          <a:endParaRPr lang="en-US" sz="1100">
            <a:solidFill>
              <a:schemeClr val="dk1"/>
            </a:solidFill>
            <a:effectLst/>
            <a:latin typeface="+mn-lt"/>
            <a:ea typeface="+mn-ea"/>
            <a:cs typeface="+mn-cs"/>
          </a:endParaRPr>
        </a:p>
      </xdr:txBody>
    </xdr:sp>
    <xdr:clientData/>
  </xdr:twoCellAnchor>
  <xdr:twoCellAnchor>
    <xdr:from>
      <xdr:col>30</xdr:col>
      <xdr:colOff>228600</xdr:colOff>
      <xdr:row>37</xdr:row>
      <xdr:rowOff>171450</xdr:rowOff>
    </xdr:from>
    <xdr:to>
      <xdr:col>32</xdr:col>
      <xdr:colOff>600074</xdr:colOff>
      <xdr:row>49</xdr:row>
      <xdr:rowOff>38100</xdr:rowOff>
    </xdr:to>
    <xdr:sp macro="" textlink="">
      <xdr:nvSpPr>
        <xdr:cNvPr id="9" name="TextBox 8">
          <a:extLst>
            <a:ext uri="{FF2B5EF4-FFF2-40B4-BE49-F238E27FC236}">
              <a16:creationId xmlns:a16="http://schemas.microsoft.com/office/drawing/2014/main" id="{B1813DF8-8DC9-438B-9C54-F711BA955EAD}"/>
            </a:ext>
          </a:extLst>
        </xdr:cNvPr>
        <xdr:cNvSpPr txBox="1"/>
      </xdr:nvSpPr>
      <xdr:spPr>
        <a:xfrm>
          <a:off x="24965025" y="10620375"/>
          <a:ext cx="1838324" cy="21526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Medical Managers</a:t>
          </a:r>
          <a:r>
            <a:rPr lang="en-AU" sz="1000" b="1" baseline="0"/>
            <a:t> Allowance</a:t>
          </a:r>
          <a:endParaRPr lang="en-AU" sz="1000" b="1"/>
        </a:p>
        <a:p>
          <a:r>
            <a:rPr lang="en-AU" sz="1000"/>
            <a:t>MOCA6 Cl</a:t>
          </a:r>
          <a:r>
            <a:rPr lang="en-AU" sz="1000" baseline="0"/>
            <a:t> 2.12 &amp; Sched 1</a:t>
          </a:r>
        </a:p>
        <a:p>
          <a:endParaRPr lang="en-AU" sz="1000" baseline="0">
            <a:solidFill>
              <a:schemeClr val="dk1"/>
            </a:solidFill>
            <a:effectLst/>
            <a:latin typeface="+mn-lt"/>
            <a:ea typeface="+mn-ea"/>
            <a:cs typeface="+mn-cs"/>
          </a:endParaRPr>
        </a:p>
        <a:p>
          <a:r>
            <a:rPr lang="en-AU" sz="1000" baseline="0">
              <a:solidFill>
                <a:schemeClr val="dk1"/>
              </a:solidFill>
              <a:effectLst/>
              <a:latin typeface="+mn-lt"/>
              <a:ea typeface="+mn-ea"/>
              <a:cs typeface="+mn-cs"/>
            </a:rPr>
            <a:t>MM1 - $6,311</a:t>
          </a:r>
        </a:p>
        <a:p>
          <a:r>
            <a:rPr lang="en-AU" sz="1000" baseline="0">
              <a:solidFill>
                <a:schemeClr val="dk1"/>
              </a:solidFill>
              <a:effectLst/>
              <a:latin typeface="+mn-lt"/>
              <a:ea typeface="+mn-ea"/>
              <a:cs typeface="+mn-cs"/>
            </a:rPr>
            <a:t>MM2 - $10,519</a:t>
          </a:r>
        </a:p>
        <a:p>
          <a:r>
            <a:rPr lang="en-AU" sz="1000" baseline="0">
              <a:solidFill>
                <a:schemeClr val="dk1"/>
              </a:solidFill>
              <a:effectLst/>
              <a:latin typeface="+mn-lt"/>
              <a:ea typeface="+mn-ea"/>
              <a:cs typeface="+mn-cs"/>
            </a:rPr>
            <a:t>MM3 - $18,933</a:t>
          </a:r>
        </a:p>
        <a:p>
          <a:r>
            <a:rPr lang="en-AU" sz="1000" baseline="0">
              <a:solidFill>
                <a:schemeClr val="dk1"/>
              </a:solidFill>
              <a:effectLst/>
              <a:latin typeface="+mn-lt"/>
              <a:ea typeface="+mn-ea"/>
              <a:cs typeface="+mn-cs"/>
            </a:rPr>
            <a:t>MM4 - $27,342</a:t>
          </a:r>
        </a:p>
        <a:p>
          <a:r>
            <a:rPr lang="en-AU" sz="1000" baseline="0">
              <a:solidFill>
                <a:schemeClr val="dk1"/>
              </a:solidFill>
              <a:effectLst/>
              <a:latin typeface="+mn-lt"/>
              <a:ea typeface="+mn-ea"/>
              <a:cs typeface="+mn-cs"/>
            </a:rPr>
            <a:t>MM5 - $35,758</a:t>
          </a:r>
        </a:p>
        <a:p>
          <a:r>
            <a:rPr lang="en-AU" sz="1000" baseline="0">
              <a:solidFill>
                <a:schemeClr val="dk1"/>
              </a:solidFill>
              <a:effectLst/>
              <a:latin typeface="+mn-lt"/>
              <a:ea typeface="+mn-ea"/>
              <a:cs typeface="+mn-cs"/>
            </a:rPr>
            <a:t>MM6 - $42,066</a:t>
          </a:r>
        </a:p>
        <a:p>
          <a:r>
            <a:rPr lang="en-AU" sz="1000" baseline="0">
              <a:solidFill>
                <a:schemeClr val="dk1"/>
              </a:solidFill>
              <a:effectLst/>
              <a:latin typeface="+mn-lt"/>
              <a:ea typeface="+mn-ea"/>
              <a:cs typeface="+mn-cs"/>
            </a:rPr>
            <a:t>MM7 - $48,377</a:t>
          </a:r>
        </a:p>
        <a:p>
          <a:r>
            <a:rPr lang="en-AU" sz="1000" baseline="0">
              <a:solidFill>
                <a:schemeClr val="dk1"/>
              </a:solidFill>
              <a:effectLst/>
              <a:latin typeface="+mn-lt"/>
              <a:ea typeface="+mn-ea"/>
              <a:cs typeface="+mn-cs"/>
            </a:rPr>
            <a:t>MM8 - $54,691</a:t>
          </a:r>
        </a:p>
        <a:p>
          <a:r>
            <a:rPr lang="en-AU" sz="1000" baseline="0">
              <a:solidFill>
                <a:schemeClr val="dk1"/>
              </a:solidFill>
              <a:effectLst/>
              <a:latin typeface="+mn-lt"/>
              <a:ea typeface="+mn-ea"/>
              <a:cs typeface="+mn-cs"/>
            </a:rPr>
            <a:t>MM9 - $60,994</a:t>
          </a:r>
        </a:p>
        <a:p>
          <a:r>
            <a:rPr lang="en-AU" sz="1000" baseline="0">
              <a:solidFill>
                <a:schemeClr val="dk1"/>
              </a:solidFill>
              <a:effectLst/>
              <a:latin typeface="+mn-lt"/>
              <a:ea typeface="+mn-ea"/>
              <a:cs typeface="+mn-cs"/>
            </a:rPr>
            <a:t>MM10 - $65,202</a:t>
          </a:r>
          <a:endParaRPr lang="en-US"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10</xdr:col>
      <xdr:colOff>38100</xdr:colOff>
      <xdr:row>23</xdr:row>
      <xdr:rowOff>66675</xdr:rowOff>
    </xdr:to>
    <xdr:sp macro="" textlink="">
      <xdr:nvSpPr>
        <xdr:cNvPr id="2" name="TextBox 1">
          <a:extLst>
            <a:ext uri="{FF2B5EF4-FFF2-40B4-BE49-F238E27FC236}">
              <a16:creationId xmlns:a16="http://schemas.microsoft.com/office/drawing/2014/main" id="{300D3276-2030-43E6-93AF-E4A1B190A526}"/>
            </a:ext>
          </a:extLst>
        </xdr:cNvPr>
        <xdr:cNvSpPr txBox="1"/>
      </xdr:nvSpPr>
      <xdr:spPr>
        <a:xfrm>
          <a:off x="9248775" y="914400"/>
          <a:ext cx="2286000" cy="643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r>
            <a:rPr lang="en-AU" sz="1100"/>
            <a:t>Practice support staffing will vary in composition and size,</a:t>
          </a:r>
          <a:r>
            <a:rPr lang="en-AU" sz="1100" baseline="0"/>
            <a:t> the working partnership between local hospital adn community health programs and whether the practice operates as a branch within a hub and spoke model of practices.</a:t>
          </a:r>
        </a:p>
        <a:p>
          <a:endParaRPr lang="en-AU" sz="1100" baseline="0"/>
        </a:p>
        <a:p>
          <a:r>
            <a:rPr lang="en-AU" sz="1100" baseline="0"/>
            <a:t>The practice may also approporately include Aboriginal and Torres Strait Islander health workers and/or health practitioners.</a:t>
          </a:r>
        </a:p>
        <a:p>
          <a:endParaRPr lang="en-AU" sz="1100" baseline="0"/>
        </a:p>
        <a:p>
          <a:r>
            <a:rPr lang="en-AU" sz="1100"/>
            <a:t>This table </a:t>
          </a:r>
          <a:r>
            <a:rPr lang="en-AU" sz="1100" baseline="0"/>
            <a:t> provides an indicative cost profile only - more detailed work will need to be undertaken once in-principle approval for the HHS operated general practice is given.</a:t>
          </a:r>
        </a:p>
        <a:p>
          <a:endParaRPr lang="en-AU" sz="1100" baseline="0"/>
        </a:p>
        <a:p>
          <a:r>
            <a:rPr lang="en-AU" sz="1100" baseline="0"/>
            <a:t>RANIP costs have not been included as it is not considered , but may be applicable on some more remote locations.</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600075</xdr:colOff>
      <xdr:row>29</xdr:row>
      <xdr:rowOff>0</xdr:rowOff>
    </xdr:from>
    <xdr:to>
      <xdr:col>5</xdr:col>
      <xdr:colOff>0</xdr:colOff>
      <xdr:row>36</xdr:row>
      <xdr:rowOff>171450</xdr:rowOff>
    </xdr:to>
    <xdr:sp macro="" textlink="">
      <xdr:nvSpPr>
        <xdr:cNvPr id="2" name="TextBox 1">
          <a:extLst>
            <a:ext uri="{FF2B5EF4-FFF2-40B4-BE49-F238E27FC236}">
              <a16:creationId xmlns:a16="http://schemas.microsoft.com/office/drawing/2014/main" id="{507E0C44-E5EE-4797-86C4-EAA3311E4008}"/>
            </a:ext>
          </a:extLst>
        </xdr:cNvPr>
        <xdr:cNvSpPr txBox="1"/>
      </xdr:nvSpPr>
      <xdr:spPr>
        <a:xfrm>
          <a:off x="600075" y="7648575"/>
          <a:ext cx="669607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Practice Incentive Program notes:</a:t>
          </a:r>
        </a:p>
        <a:p>
          <a:endParaRPr lang="en-AU" sz="1100"/>
        </a:p>
        <a:p>
          <a:r>
            <a:rPr lang="en-AU" sz="1100"/>
            <a:t>- estimates</a:t>
          </a:r>
          <a:r>
            <a:rPr lang="en-AU" sz="1100" baseline="0"/>
            <a:t> based on recurring items only - once-off registration items are excluded (but can be significant)</a:t>
          </a:r>
        </a:p>
        <a:p>
          <a:r>
            <a:rPr lang="en-AU" sz="1100" baseline="0"/>
            <a:t>- amounts per SWPE </a:t>
          </a:r>
          <a:r>
            <a:rPr lang="en-AU" sz="1100" baseline="0">
              <a:solidFill>
                <a:schemeClr val="dk1"/>
              </a:solidFill>
              <a:effectLst/>
              <a:latin typeface="+mn-lt"/>
              <a:ea typeface="+mn-ea"/>
              <a:cs typeface="+mn-cs"/>
            </a:rPr>
            <a:t>are assumptions only to enable an estimate to be prepared  - actual earnings will  vary</a:t>
          </a:r>
          <a:endParaRPr lang="en-AU" sz="1100" baseline="0"/>
        </a:p>
        <a:p>
          <a:r>
            <a:rPr lang="en-AU" sz="1100" baseline="0"/>
            <a:t>- no assumptions have been made for  after hours, procedural or aged care access, which are dependent on practice operations</a:t>
          </a:r>
        </a:p>
        <a:p>
          <a:r>
            <a:rPr lang="en-AU" sz="1100" baseline="0"/>
            <a:t>- aged care access program payments are directed to the doctor</a:t>
          </a:r>
        </a:p>
        <a:p>
          <a:r>
            <a:rPr lang="en-AU" sz="1100" baseline="0"/>
            <a:t>- MM mapping for RRMA is approximate only for  modelling purposes.</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476250</xdr:colOff>
      <xdr:row>6</xdr:row>
      <xdr:rowOff>9524</xdr:rowOff>
    </xdr:from>
    <xdr:to>
      <xdr:col>12</xdr:col>
      <xdr:colOff>142875</xdr:colOff>
      <xdr:row>21</xdr:row>
      <xdr:rowOff>9525</xdr:rowOff>
    </xdr:to>
    <xdr:sp macro="" textlink="">
      <xdr:nvSpPr>
        <xdr:cNvPr id="2" name="TextBox 1">
          <a:extLst>
            <a:ext uri="{FF2B5EF4-FFF2-40B4-BE49-F238E27FC236}">
              <a16:creationId xmlns:a16="http://schemas.microsoft.com/office/drawing/2014/main" id="{702843DA-E97B-4DD6-A088-A2668A1A5FF3}"/>
            </a:ext>
          </a:extLst>
        </xdr:cNvPr>
        <xdr:cNvSpPr txBox="1"/>
      </xdr:nvSpPr>
      <xdr:spPr>
        <a:xfrm>
          <a:off x="6162675" y="1304924"/>
          <a:ext cx="2714625" cy="454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These tables provide a simple </a:t>
          </a:r>
          <a:r>
            <a:rPr lang="en-AU" sz="1100">
              <a:solidFill>
                <a:sysClr val="windowText" lastClr="000000"/>
              </a:solidFill>
            </a:rPr>
            <a:t>weighted</a:t>
          </a:r>
          <a:r>
            <a:rPr lang="en-AU" sz="1100" baseline="0"/>
            <a:t> </a:t>
          </a:r>
          <a:r>
            <a:rPr lang="en-AU" sz="1100"/>
            <a:t>average</a:t>
          </a:r>
          <a:r>
            <a:rPr lang="en-AU" sz="1100" baseline="0"/>
            <a:t>  patient consultation fee attending a practice.</a:t>
          </a:r>
        </a:p>
        <a:p>
          <a:endParaRPr lang="en-AU" sz="1100" baseline="0"/>
        </a:p>
        <a:p>
          <a:r>
            <a:rPr lang="en-AU" sz="1100" baseline="0"/>
            <a:t>The MBS includes dozens of items  which make it impractical to develop a simple average for modelling purposes.</a:t>
          </a:r>
        </a:p>
        <a:p>
          <a:endParaRPr lang="en-AU" sz="1100" baseline="0"/>
        </a:p>
        <a:p>
          <a:r>
            <a:rPr lang="en-AU" sz="1100" baseline="0"/>
            <a:t>A study of MBS data in 2015-16 found that 90% of items billed to the MBS were standard, routine consultations (BEACH, 2015-16).</a:t>
          </a:r>
        </a:p>
        <a:p>
          <a:endParaRPr lang="en-AU" sz="1100"/>
        </a:p>
        <a:p>
          <a:r>
            <a:rPr lang="en-AU" sz="1100"/>
            <a:t>Table 1 shows the current MBS rate for a standard consultation </a:t>
          </a:r>
          <a:r>
            <a:rPr lang="en-AU" sz="1100" baseline="0"/>
            <a:t>under 20 minutes and the applicable bulk-billing incentive payable  for different regions.</a:t>
          </a:r>
        </a:p>
        <a:p>
          <a:endParaRPr lang="en-AU" sz="1100" baseline="0"/>
        </a:p>
        <a:p>
          <a:r>
            <a:rPr lang="en-AU" sz="1100" baseline="0"/>
            <a:t>Table 2 weights the average fees for an estimate of the  proportion of the practice population who are eligible for concession and attract the bulk billing loading.  Remaining patients either pay a full consultation fee with out-of pocket expense, or are bulk-billed without the rural loading.</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health.qld.gov.au/hrpolicies/salary/medica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ealth.qld.gov.au/hrpolicies/salary/admin" TargetMode="External"/><Relationship Id="rId1" Type="http://schemas.openxmlformats.org/officeDocument/2006/relationships/hyperlink" Target="http://www.health.qld.gov.au/hrpolicies/wage-rates/nursing"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health.gov.au/initiatives-and-programs/workforce-incentive-program/doctor-stream/payment-amounts" TargetMode="External"/><Relationship Id="rId2" Type="http://schemas.openxmlformats.org/officeDocument/2006/relationships/hyperlink" Target="http://www.servicesaustralia.gov.au/practice-incentives-program" TargetMode="External"/><Relationship Id="rId1" Type="http://schemas.openxmlformats.org/officeDocument/2006/relationships/hyperlink" Target="http://www.health.gov.au/initiatives-and-programs/workforce-incentive-program/practice-stream/incentive-payments" TargetMode="Externa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327E-4950-46A3-BBA5-CE9BC88D664A}">
  <sheetPr>
    <tabColor rgb="FFFFFFCC"/>
  </sheetPr>
  <dimension ref="A1"/>
  <sheetViews>
    <sheetView tabSelected="1" workbookViewId="0">
      <selection activeCell="A45" sqref="A45"/>
    </sheetView>
  </sheetViews>
  <sheetFormatPr defaultRowHeight="15" x14ac:dyDescent="0.25"/>
  <cols>
    <col min="1" max="16384" width="9.140625" style="1"/>
  </cols>
  <sheetData/>
  <sheetProtection algorithmName="SHA-512" hashValue="bAHtRihglP7B3sYmYgKm5+DrswvDzyr93Cn73/GMFuX2RPCitq90aY/hOfzVuWvZe5GFb3C4ygdBEEOhjkwzCw==" saltValue="qSs/RAXPdW/zvL3wzW420w=="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8F38-83FD-46E1-B9C6-EC18BBD9B1A0}">
  <sheetPr>
    <tabColor theme="8" tint="0.79998168889431442"/>
  </sheetPr>
  <dimension ref="B1:G45"/>
  <sheetViews>
    <sheetView zoomScaleNormal="100" workbookViewId="0">
      <selection activeCell="B29" sqref="B29"/>
    </sheetView>
  </sheetViews>
  <sheetFormatPr defaultRowHeight="15" x14ac:dyDescent="0.25"/>
  <cols>
    <col min="1" max="1" width="5.85546875" style="1" customWidth="1"/>
    <col min="2" max="2" width="43.140625" style="1" customWidth="1"/>
    <col min="3" max="7" width="17.28515625" style="1" customWidth="1"/>
    <col min="8" max="8" width="9.140625" style="1" customWidth="1"/>
    <col min="9" max="16384" width="9.140625" style="1"/>
  </cols>
  <sheetData>
    <row r="1" spans="2:7" ht="18.75" x14ac:dyDescent="0.3">
      <c r="B1" s="114" t="s">
        <v>34</v>
      </c>
      <c r="C1" s="114"/>
      <c r="D1" s="114"/>
      <c r="E1" s="114"/>
      <c r="F1" s="114"/>
      <c r="G1" s="114"/>
    </row>
    <row r="2" spans="2:7" ht="15.75" thickBot="1" x14ac:dyDescent="0.3">
      <c r="B2" s="3"/>
      <c r="C2" s="3"/>
      <c r="D2" s="3"/>
      <c r="E2" s="3"/>
      <c r="F2" s="3"/>
      <c r="G2" s="3"/>
    </row>
    <row r="3" spans="2:7" ht="15.75" thickBot="1" x14ac:dyDescent="0.3">
      <c r="B3" s="3" t="s">
        <v>2</v>
      </c>
      <c r="C3" s="6"/>
      <c r="D3" s="3"/>
      <c r="E3" s="3"/>
      <c r="F3" s="3"/>
      <c r="G3" s="3"/>
    </row>
    <row r="4" spans="2:7" ht="15.75" thickBot="1" x14ac:dyDescent="0.3">
      <c r="B4" s="3"/>
      <c r="C4" s="4"/>
      <c r="D4" s="3"/>
      <c r="E4" s="3"/>
      <c r="F4" s="3"/>
      <c r="G4" s="3"/>
    </row>
    <row r="5" spans="2:7" ht="15.75" thickBot="1" x14ac:dyDescent="0.3">
      <c r="B5" s="3" t="s">
        <v>3</v>
      </c>
      <c r="C5" s="6" t="s">
        <v>54</v>
      </c>
      <c r="D5" s="3"/>
      <c r="E5" s="3"/>
      <c r="F5" s="3"/>
      <c r="G5" s="3"/>
    </row>
    <row r="6" spans="2:7" ht="15.75" thickBot="1" x14ac:dyDescent="0.3">
      <c r="B6" s="3"/>
      <c r="C6" s="3"/>
      <c r="D6" s="3"/>
      <c r="E6" s="3"/>
      <c r="F6" s="3"/>
      <c r="G6" s="3"/>
    </row>
    <row r="7" spans="2:7" ht="15.75" thickBot="1" x14ac:dyDescent="0.3">
      <c r="B7" s="3" t="s">
        <v>222</v>
      </c>
      <c r="C7" s="7">
        <v>0.7</v>
      </c>
      <c r="D7" s="3"/>
      <c r="E7" s="3"/>
      <c r="F7" s="3"/>
      <c r="G7" s="3"/>
    </row>
    <row r="8" spans="2:7" x14ac:dyDescent="0.25">
      <c r="B8" s="18" t="s">
        <v>233</v>
      </c>
      <c r="C8" s="108" cm="1">
        <f t="array" ref="C8">_xlfn.XLOOKUP(C7,'Avg BB fee'!B15:B20,_xlfn.XLOOKUP(Compare!C5,'Avg BB fee'!C14:G14,'Avg BB fee'!C15:G20))</f>
        <v>68.504999999999995</v>
      </c>
      <c r="D8" s="3"/>
      <c r="E8" s="3"/>
      <c r="F8" s="3"/>
      <c r="G8" s="3"/>
    </row>
    <row r="9" spans="2:7" ht="15.75" thickBot="1" x14ac:dyDescent="0.3">
      <c r="B9" s="3"/>
      <c r="C9" s="4"/>
      <c r="D9" s="3"/>
      <c r="E9" s="3"/>
      <c r="F9" s="3"/>
      <c r="G9" s="3"/>
    </row>
    <row r="10" spans="2:7" ht="15.75" thickBot="1" x14ac:dyDescent="0.3">
      <c r="B10" s="3" t="s">
        <v>33</v>
      </c>
      <c r="C10" s="16">
        <v>90</v>
      </c>
      <c r="D10" s="3"/>
      <c r="E10" s="3"/>
      <c r="F10" s="3"/>
      <c r="G10" s="3"/>
    </row>
    <row r="11" spans="2:7" x14ac:dyDescent="0.25">
      <c r="B11" s="3" t="s">
        <v>32</v>
      </c>
      <c r="C11" s="15">
        <f>((1-C7)*C10)+(C7*C8)</f>
        <v>74.953499999999991</v>
      </c>
      <c r="D11" s="3"/>
      <c r="E11" s="3"/>
      <c r="F11" s="3"/>
      <c r="G11" s="3"/>
    </row>
    <row r="12" spans="2:7" ht="15.75" thickBot="1" x14ac:dyDescent="0.3">
      <c r="B12" s="3"/>
      <c r="C12" s="4"/>
      <c r="D12" s="3"/>
      <c r="E12" s="3"/>
      <c r="F12" s="3"/>
      <c r="G12" s="3"/>
    </row>
    <row r="13" spans="2:7" ht="15.75" thickBot="1" x14ac:dyDescent="0.3">
      <c r="B13" s="3" t="s">
        <v>4</v>
      </c>
      <c r="C13" s="6">
        <v>10</v>
      </c>
      <c r="D13" s="3"/>
      <c r="E13" s="3"/>
      <c r="F13" s="3"/>
      <c r="G13" s="3"/>
    </row>
    <row r="14" spans="2:7" x14ac:dyDescent="0.25">
      <c r="B14" s="3" t="s">
        <v>5</v>
      </c>
      <c r="C14" s="4">
        <f>IF(C13="","",40-C13)</f>
        <v>30</v>
      </c>
      <c r="D14" s="3"/>
      <c r="E14" s="3"/>
      <c r="F14" s="3"/>
      <c r="G14" s="3"/>
    </row>
    <row r="15" spans="2:7" x14ac:dyDescent="0.25">
      <c r="B15" s="3"/>
      <c r="C15" s="4">
        <f>IF(SUM(C13:C14)=0,"",SUM(C13:C14))</f>
        <v>40</v>
      </c>
      <c r="D15" s="3"/>
      <c r="E15" s="3"/>
      <c r="F15" s="3"/>
      <c r="G15" s="3"/>
    </row>
    <row r="16" spans="2:7" ht="15.75" thickBot="1" x14ac:dyDescent="0.3">
      <c r="B16" s="3"/>
      <c r="C16" s="3"/>
      <c r="D16" s="3"/>
      <c r="E16" s="3"/>
      <c r="F16" s="3"/>
      <c r="G16" s="3"/>
    </row>
    <row r="17" spans="2:7" ht="15.75" thickBot="1" x14ac:dyDescent="0.3">
      <c r="B17" s="3" t="s">
        <v>1</v>
      </c>
      <c r="C17" s="3"/>
      <c r="D17" s="6">
        <v>5</v>
      </c>
      <c r="E17" s="6">
        <v>3</v>
      </c>
      <c r="F17" s="6">
        <v>3</v>
      </c>
      <c r="G17" s="6">
        <v>5</v>
      </c>
    </row>
    <row r="18" spans="2:7" x14ac:dyDescent="0.25">
      <c r="B18" s="3" t="s">
        <v>35</v>
      </c>
      <c r="C18" s="3"/>
      <c r="D18" s="4" t="str">
        <f>IF(D17="","",IF(D17=3,"20 minutes",IF(D17=4,"15 minutes","10 minutes")))</f>
        <v>10 minutes</v>
      </c>
      <c r="E18" s="4" t="str">
        <f>IF(E17="","",IF(E17=3,"20 minutes",IF(E17=4,"15 minutes","10 minutes")))</f>
        <v>20 minutes</v>
      </c>
      <c r="F18" s="4" t="str">
        <f>IF(F17="","",IF(F17=3,"20 minutes",IF(F17=4,"15 minutes","10 minutes")))</f>
        <v>20 minutes</v>
      </c>
      <c r="G18" s="4" t="str">
        <f>IF(G17="","",IF(G17=3,"20 minutes",IF(G17=4,"15 minutes","10 minutes")))</f>
        <v>10 minutes</v>
      </c>
    </row>
    <row r="19" spans="2:7" ht="15.75" thickBot="1" x14ac:dyDescent="0.3">
      <c r="B19" s="9"/>
      <c r="C19" s="3"/>
      <c r="D19" s="3"/>
      <c r="E19" s="3"/>
      <c r="F19" s="3"/>
      <c r="G19" s="3"/>
    </row>
    <row r="20" spans="2:7" ht="15.75" thickBot="1" x14ac:dyDescent="0.3">
      <c r="B20" s="5" t="s">
        <v>12</v>
      </c>
      <c r="C20" s="3"/>
      <c r="D20" s="6">
        <f>234</f>
        <v>234</v>
      </c>
      <c r="E20" s="6">
        <v>234</v>
      </c>
      <c r="F20" s="6">
        <v>234</v>
      </c>
      <c r="G20" s="6">
        <v>234</v>
      </c>
    </row>
    <row r="21" spans="2:7" ht="15.75" thickBot="1" x14ac:dyDescent="0.3">
      <c r="B21" s="9"/>
      <c r="C21" s="3"/>
      <c r="D21" s="3"/>
      <c r="E21" s="3"/>
      <c r="F21" s="3"/>
      <c r="G21" s="3"/>
    </row>
    <row r="22" spans="2:7" ht="15.75" thickBot="1" x14ac:dyDescent="0.3">
      <c r="B22" s="5" t="s">
        <v>14</v>
      </c>
      <c r="C22" s="3"/>
      <c r="D22" s="8">
        <v>0.3</v>
      </c>
      <c r="E22" s="109">
        <v>0</v>
      </c>
      <c r="F22" s="109">
        <v>0.25</v>
      </c>
      <c r="G22" s="8">
        <v>0.4</v>
      </c>
    </row>
    <row r="23" spans="2:7" x14ac:dyDescent="0.25">
      <c r="B23" s="3"/>
      <c r="C23" s="3"/>
      <c r="D23" s="3"/>
      <c r="E23" s="3"/>
      <c r="F23" s="3"/>
      <c r="G23" s="3"/>
    </row>
    <row r="24" spans="2:7" x14ac:dyDescent="0.25">
      <c r="B24" s="3"/>
      <c r="C24" s="17" t="s">
        <v>27</v>
      </c>
      <c r="D24" s="17" t="s">
        <v>28</v>
      </c>
      <c r="E24" s="17" t="s">
        <v>29</v>
      </c>
      <c r="F24" s="17" t="s">
        <v>30</v>
      </c>
      <c r="G24" s="17" t="s">
        <v>31</v>
      </c>
    </row>
    <row r="25" spans="2:7" ht="46.5" customHeight="1" x14ac:dyDescent="0.25">
      <c r="B25" s="3"/>
      <c r="C25" s="13" t="s">
        <v>23</v>
      </c>
      <c r="D25" s="14" t="s">
        <v>36</v>
      </c>
      <c r="E25" s="13" t="s">
        <v>25</v>
      </c>
      <c r="F25" s="14" t="s">
        <v>26</v>
      </c>
      <c r="G25" s="13" t="s">
        <v>24</v>
      </c>
    </row>
    <row r="26" spans="2:7" x14ac:dyDescent="0.25">
      <c r="B26" s="3"/>
      <c r="C26" s="20"/>
      <c r="D26" s="21"/>
      <c r="E26" s="22"/>
      <c r="F26" s="21"/>
      <c r="G26" s="22"/>
    </row>
    <row r="27" spans="2:7" x14ac:dyDescent="0.25">
      <c r="B27" s="3" t="s">
        <v>11</v>
      </c>
      <c r="C27" s="20">
        <f>+'Doctor salary build'!C22</f>
        <v>361315.09372307692</v>
      </c>
      <c r="D27" s="20">
        <f>+'Doctor salary build'!D22</f>
        <v>310794.4288461539</v>
      </c>
      <c r="E27" s="20">
        <f>+'Doctor salary build'!E22</f>
        <v>479887.96030769235</v>
      </c>
      <c r="F27" s="20">
        <f>+'Doctor salary build'!F22</f>
        <v>424279.21030769235</v>
      </c>
      <c r="G27" s="22">
        <f>+C27*0.5</f>
        <v>180657.54686153846</v>
      </c>
    </row>
    <row r="28" spans="2:7" x14ac:dyDescent="0.25">
      <c r="B28" s="3" t="s">
        <v>211</v>
      </c>
      <c r="C28" s="20">
        <f>+'Doctor salary build'!C23+'Doctor salary build'!C24+'Doctor salary build'!C25</f>
        <v>27652.592680846152</v>
      </c>
      <c r="D28" s="20">
        <f>+'Doctor salary build'!D23+'Doctor salary build'!D24+'Doctor salary build'!D25</f>
        <v>29678.86605769231</v>
      </c>
      <c r="E28" s="20">
        <f>+'Doctor salary build'!E23+'Doctor salary build'!E24+'Doctor salary build'!E25</f>
        <v>34354.852467115386</v>
      </c>
      <c r="F28" s="20">
        <f>+'Doctor salary build'!F23+'Doctor salary build'!F24+'Doctor salary build'!F25</f>
        <v>33520.721217115388</v>
      </c>
      <c r="G28" s="22">
        <f>+C28*0.5</f>
        <v>13826.296340423076</v>
      </c>
    </row>
    <row r="29" spans="2:7" x14ac:dyDescent="0.25">
      <c r="B29" s="3"/>
      <c r="C29" s="20">
        <f>SUM(C27:C28)</f>
        <v>388967.68640392309</v>
      </c>
      <c r="D29" s="21">
        <f t="shared" ref="D29:F29" si="0">SUM(D27:D28)</f>
        <v>340473.29490384622</v>
      </c>
      <c r="E29" s="22">
        <f>SUM(E27:E28)</f>
        <v>514242.81277480774</v>
      </c>
      <c r="F29" s="21">
        <f t="shared" si="0"/>
        <v>457799.93152480776</v>
      </c>
      <c r="G29" s="22">
        <f>SUM(G27:G28)</f>
        <v>194483.84320196154</v>
      </c>
    </row>
    <row r="30" spans="2:7" x14ac:dyDescent="0.25">
      <c r="B30" s="3"/>
      <c r="C30" s="20"/>
      <c r="D30" s="21"/>
      <c r="E30" s="22"/>
      <c r="F30" s="21"/>
      <c r="G30" s="22"/>
    </row>
    <row r="31" spans="2:7" x14ac:dyDescent="0.25">
      <c r="B31" s="18" t="s">
        <v>13</v>
      </c>
      <c r="C31" s="23">
        <v>0</v>
      </c>
      <c r="D31" s="24">
        <f>C14*D17*C11*(D20/5)</f>
        <v>526173.56999999983</v>
      </c>
      <c r="E31" s="25">
        <f>C14*E17*C8*(E20/5)</f>
        <v>288543.06</v>
      </c>
      <c r="F31" s="24">
        <f>C14*F17*C8*(F20/5)</f>
        <v>288543.06</v>
      </c>
      <c r="G31" s="25">
        <f>((0.5*C15)*G17*C11*(G20/5))</f>
        <v>350782.37999999995</v>
      </c>
    </row>
    <row r="32" spans="2:7" x14ac:dyDescent="0.25">
      <c r="B32" s="18"/>
      <c r="C32" s="23"/>
      <c r="D32" s="24"/>
      <c r="E32" s="25"/>
      <c r="F32" s="24"/>
      <c r="G32" s="25"/>
    </row>
    <row r="33" spans="2:7" x14ac:dyDescent="0.25">
      <c r="B33" s="19" t="s">
        <v>16</v>
      </c>
      <c r="C33" s="23"/>
      <c r="D33" s="24"/>
      <c r="E33" s="25"/>
      <c r="F33" s="24"/>
      <c r="G33" s="25"/>
    </row>
    <row r="34" spans="2:7" x14ac:dyDescent="0.25">
      <c r="B34" s="18" t="s">
        <v>15</v>
      </c>
      <c r="C34" s="23">
        <f>+C29</f>
        <v>388967.68640392309</v>
      </c>
      <c r="D34" s="23">
        <f t="shared" ref="D34:F34" si="1">+D29</f>
        <v>340473.29490384622</v>
      </c>
      <c r="E34" s="23">
        <f t="shared" si="1"/>
        <v>514242.81277480774</v>
      </c>
      <c r="F34" s="23">
        <f t="shared" si="1"/>
        <v>457799.93152480776</v>
      </c>
      <c r="G34" s="25">
        <f>+C34*0.5</f>
        <v>194483.84320196154</v>
      </c>
    </row>
    <row r="35" spans="2:7" x14ac:dyDescent="0.25">
      <c r="B35" s="18" t="s">
        <v>167</v>
      </c>
      <c r="C35" s="23">
        <v>0</v>
      </c>
      <c r="D35" s="24">
        <v>0</v>
      </c>
      <c r="E35" s="25">
        <f>-E31</f>
        <v>-288543.06</v>
      </c>
      <c r="F35" s="24">
        <v>0</v>
      </c>
      <c r="G35" s="25">
        <v>0</v>
      </c>
    </row>
    <row r="36" spans="2:7" x14ac:dyDescent="0.25">
      <c r="B36" s="18" t="s">
        <v>20</v>
      </c>
      <c r="C36" s="28">
        <v>0</v>
      </c>
      <c r="D36" s="29">
        <f>-D31*D22</f>
        <v>-157852.07099999994</v>
      </c>
      <c r="E36" s="29">
        <v>0</v>
      </c>
      <c r="F36" s="29">
        <f>-IF(F31&gt;210000,(210000*F22)+((F31-210000)*(0.666666666666667)),(F31*F22))</f>
        <v>-104862.04000000002</v>
      </c>
      <c r="G36" s="29">
        <f>-G31*G22</f>
        <v>-140312.95199999999</v>
      </c>
    </row>
    <row r="37" spans="2:7" ht="18.75" customHeight="1" x14ac:dyDescent="0.25">
      <c r="B37" s="12" t="s">
        <v>22</v>
      </c>
      <c r="C37" s="26">
        <f>SUM(C34:C36)</f>
        <v>388967.68640392309</v>
      </c>
      <c r="D37" s="26">
        <f>SUM(D34:D36)</f>
        <v>182621.22390384629</v>
      </c>
      <c r="E37" s="27">
        <f>+SUM(E34:E36)</f>
        <v>225699.75277480774</v>
      </c>
      <c r="F37" s="27">
        <f>+SUM(F34:F36)</f>
        <v>352937.89152480772</v>
      </c>
      <c r="G37" s="27">
        <f>+SUM(G34:G36)</f>
        <v>54170.891201961553</v>
      </c>
    </row>
    <row r="38" spans="2:7" x14ac:dyDescent="0.25">
      <c r="B38" s="3"/>
      <c r="C38" s="20"/>
      <c r="D38" s="21"/>
      <c r="E38" s="22"/>
      <c r="F38" s="21"/>
      <c r="G38" s="22"/>
    </row>
    <row r="39" spans="2:7" x14ac:dyDescent="0.25">
      <c r="B39" s="11" t="s">
        <v>17</v>
      </c>
      <c r="C39" s="20"/>
      <c r="D39" s="21"/>
      <c r="E39" s="22"/>
      <c r="F39" s="21"/>
      <c r="G39" s="22"/>
    </row>
    <row r="40" spans="2:7" x14ac:dyDescent="0.25">
      <c r="B40" s="3" t="s">
        <v>11</v>
      </c>
      <c r="C40" s="20">
        <f>+C27</f>
        <v>361315.09372307692</v>
      </c>
      <c r="D40" s="21">
        <f>+D27</f>
        <v>310794.4288461539</v>
      </c>
      <c r="E40" s="22">
        <f>+E27</f>
        <v>479887.96030769235</v>
      </c>
      <c r="F40" s="21">
        <f>+F27</f>
        <v>424279.21030769235</v>
      </c>
      <c r="G40" s="22">
        <f>+G27</f>
        <v>180657.54686153846</v>
      </c>
    </row>
    <row r="41" spans="2:7" x14ac:dyDescent="0.25">
      <c r="B41" s="3" t="s">
        <v>168</v>
      </c>
      <c r="C41" s="20">
        <v>0</v>
      </c>
      <c r="D41" s="21">
        <f>D31</f>
        <v>526173.56999999983</v>
      </c>
      <c r="E41" s="22">
        <v>0</v>
      </c>
      <c r="F41" s="21">
        <f>F31</f>
        <v>288543.06</v>
      </c>
      <c r="G41" s="22">
        <f>G31</f>
        <v>350782.37999999995</v>
      </c>
    </row>
    <row r="42" spans="2:7" x14ac:dyDescent="0.25">
      <c r="B42" s="3" t="s">
        <v>19</v>
      </c>
      <c r="C42" s="30">
        <v>0</v>
      </c>
      <c r="D42" s="31">
        <f>-D31*D22</f>
        <v>-157852.07099999994</v>
      </c>
      <c r="E42" s="31">
        <v>0</v>
      </c>
      <c r="F42" s="31">
        <f>-IF(F31&gt;210000,(210000*F22)+((F31-210000)*(0.666666666666667)),(F31*F22))</f>
        <v>-104862.04000000002</v>
      </c>
      <c r="G42" s="31">
        <f>G36</f>
        <v>-140312.95199999999</v>
      </c>
    </row>
    <row r="43" spans="2:7" ht="21.75" customHeight="1" x14ac:dyDescent="0.25">
      <c r="B43" s="12" t="s">
        <v>21</v>
      </c>
      <c r="C43" s="26">
        <f>SUM(C40:C42)</f>
        <v>361315.09372307692</v>
      </c>
      <c r="D43" s="26">
        <f>SUM(D40:D42)</f>
        <v>679115.92784615373</v>
      </c>
      <c r="E43" s="27">
        <f>+SUM(E40:E42)</f>
        <v>479887.96030769235</v>
      </c>
      <c r="F43" s="26">
        <f>SUM(F40:F42)</f>
        <v>607960.23030769231</v>
      </c>
      <c r="G43" s="27">
        <f>+SUM(G40:G42)</f>
        <v>391126.97486153845</v>
      </c>
    </row>
    <row r="44" spans="2:7" x14ac:dyDescent="0.25">
      <c r="B44" s="3"/>
      <c r="C44" s="3"/>
      <c r="D44" s="10"/>
      <c r="E44" s="10"/>
      <c r="F44" s="10"/>
      <c r="G44" s="10"/>
    </row>
    <row r="45" spans="2:7" x14ac:dyDescent="0.25">
      <c r="C45" s="2"/>
      <c r="D45" s="2"/>
      <c r="E45" s="2"/>
      <c r="F45" s="2"/>
    </row>
  </sheetData>
  <sheetProtection algorithmName="SHA-512" hashValue="6AEDk4cdKsnVwI8KSCTZkilmypw1XINsycgY7OhzeFYMdUvf9hnxCGpDNUFE5dV2PjTcQNv/tcBYWaZwIzeSFA==" saltValue="vNLQu5rPmY1XuiUDq8n7nw==" spinCount="100000" sheet="1" objects="1" scenarios="1"/>
  <mergeCells count="1">
    <mergeCell ref="B1:G1"/>
  </mergeCells>
  <dataValidations count="4">
    <dataValidation type="list" allowBlank="1" showInputMessage="1" showErrorMessage="1" sqref="D17:G17" xr:uid="{A32B68A4-7867-4838-95DD-D4405754AF2A}">
      <formula1>"3,4,5,6"</formula1>
    </dataValidation>
    <dataValidation type="list" allowBlank="1" showInputMessage="1" showErrorMessage="1" sqref="D22:E22 G22" xr:uid="{4EFD1194-B825-45F3-9E13-0F5285469056}">
      <formula1>"0%, 25%, 30%, 35%, 40%,45%,50%,55%,60%"</formula1>
    </dataValidation>
    <dataValidation type="list" allowBlank="1" showInputMessage="1" showErrorMessage="1" error="Please enter a valid selection" sqref="C10" xr:uid="{A61D8A57-51DA-41D9-A603-7785F60DF3C3}">
      <formula1>"55, 60,65,70,75,80, 85, 90,95,100"</formula1>
    </dataValidation>
    <dataValidation type="list" allowBlank="1" showInputMessage="1" showErrorMessage="1" sqref="F22" xr:uid="{DD556C82-D4C3-4177-9DFF-3F8A0C666280}">
      <formula1>"25%"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list" xr:uid="{876B8054-1AC4-4765-9E24-9824DCEBF268}">
          <x14:formula1>
            <xm:f>'Avg BB fee'!$C$7:$G$7</xm:f>
          </x14:formula1>
          <xm:sqref>C5</xm:sqref>
        </x14:dataValidation>
        <x14:dataValidation type="list" allowBlank="1" showInputMessage="1" showErrorMessage="1" error="Estimateion only - please select from list" xr:uid="{F2C69C5D-DBB5-42F1-82B2-D7F4908F8897}">
          <x14:formula1>
            <xm:f>'Avg BB fee'!$B$15:$B$20</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E297-A893-4294-BA33-EE9E63896B5F}">
  <sheetPr>
    <tabColor theme="9" tint="0.79998168889431442"/>
  </sheetPr>
  <dimension ref="A1:AG80"/>
  <sheetViews>
    <sheetView workbookViewId="0">
      <selection activeCell="C8" sqref="C8"/>
    </sheetView>
  </sheetViews>
  <sheetFormatPr defaultRowHeight="15" x14ac:dyDescent="0.25"/>
  <cols>
    <col min="1" max="1" width="5.5703125" style="1" customWidth="1"/>
    <col min="2" max="2" width="49" customWidth="1"/>
    <col min="3" max="8" width="18.85546875" customWidth="1"/>
    <col min="9" max="9" width="12.85546875" style="1" customWidth="1"/>
    <col min="10" max="33" width="9.140625" style="1"/>
  </cols>
  <sheetData>
    <row r="1" spans="2:8" s="1" customFormat="1" ht="18.75" x14ac:dyDescent="0.3">
      <c r="B1" s="115" t="s">
        <v>91</v>
      </c>
      <c r="C1" s="115"/>
      <c r="D1" s="115"/>
      <c r="E1" s="115"/>
      <c r="F1" s="115"/>
      <c r="G1" s="115"/>
      <c r="H1" s="115"/>
    </row>
    <row r="2" spans="2:8" ht="15.75" thickBot="1" x14ac:dyDescent="0.3">
      <c r="B2" s="44"/>
      <c r="C2" s="44"/>
      <c r="D2" s="44"/>
      <c r="E2" s="44"/>
      <c r="F2" s="44"/>
      <c r="G2" s="44"/>
      <c r="H2" s="44"/>
    </row>
    <row r="3" spans="2:8" ht="15.75" thickBot="1" x14ac:dyDescent="0.3">
      <c r="B3" s="44" t="s">
        <v>58</v>
      </c>
      <c r="C3" s="6" t="s">
        <v>54</v>
      </c>
      <c r="D3" s="44"/>
      <c r="E3" s="44"/>
      <c r="F3" s="44"/>
      <c r="G3" s="44"/>
      <c r="H3" s="44"/>
    </row>
    <row r="4" spans="2:8" ht="15.75" thickBot="1" x14ac:dyDescent="0.3">
      <c r="B4" s="44" t="s">
        <v>157</v>
      </c>
      <c r="C4" s="85">
        <v>1000</v>
      </c>
      <c r="D4" s="44"/>
      <c r="E4" s="44" t="s">
        <v>160</v>
      </c>
      <c r="F4" s="86">
        <v>1</v>
      </c>
      <c r="G4" s="44"/>
      <c r="H4" s="44"/>
    </row>
    <row r="5" spans="2:8" x14ac:dyDescent="0.25">
      <c r="B5" s="44"/>
      <c r="C5" s="44"/>
      <c r="D5" s="44"/>
      <c r="E5" s="44"/>
      <c r="F5" s="44"/>
      <c r="G5" s="44"/>
      <c r="H5" s="44"/>
    </row>
    <row r="6" spans="2:8" x14ac:dyDescent="0.25">
      <c r="B6" s="44"/>
      <c r="C6" s="44"/>
      <c r="D6" s="44"/>
      <c r="E6" s="44"/>
      <c r="F6" s="44"/>
      <c r="G6" s="44"/>
      <c r="H6" s="44"/>
    </row>
    <row r="7" spans="2:8" ht="15.75" thickBot="1" x14ac:dyDescent="0.3">
      <c r="B7" s="44"/>
      <c r="C7" s="48" t="s">
        <v>135</v>
      </c>
      <c r="D7" s="49" t="s">
        <v>134</v>
      </c>
      <c r="E7" s="49" t="s">
        <v>18</v>
      </c>
      <c r="F7" s="49" t="s">
        <v>131</v>
      </c>
      <c r="G7" s="49" t="s">
        <v>132</v>
      </c>
      <c r="H7" s="49" t="s">
        <v>164</v>
      </c>
    </row>
    <row r="8" spans="2:8" ht="15.75" thickBot="1" x14ac:dyDescent="0.3">
      <c r="B8" s="44" t="s">
        <v>37</v>
      </c>
      <c r="C8" s="6" t="s">
        <v>29</v>
      </c>
      <c r="D8" s="45">
        <f>IF(C8=0,0,HLOOKUP(C8,Compare!$B$24:$G$43,6))</f>
        <v>514242.81277480774</v>
      </c>
      <c r="E8" s="45">
        <f>IF(C8=0,0,HLOOKUP(C8,Compare!$B$24:$G$43,8))</f>
        <v>288543.06</v>
      </c>
      <c r="F8" s="45">
        <f>-IF(C8=0,0,HLOOKUP(C8,Compare!$B$24:$G$43,12))</f>
        <v>288543.06</v>
      </c>
      <c r="G8" s="45">
        <f>-IF(C8=0,0,HLOOKUP(C8,Compare!$B$24:$G$43,13))</f>
        <v>0</v>
      </c>
      <c r="H8" s="45">
        <f>+E8-F8-G8</f>
        <v>0</v>
      </c>
    </row>
    <row r="9" spans="2:8" ht="15.75" thickBot="1" x14ac:dyDescent="0.3">
      <c r="B9" s="44" t="s">
        <v>37</v>
      </c>
      <c r="C9" s="6"/>
      <c r="D9" s="45">
        <f>IF(C9=0,0,HLOOKUP(C9,Compare!$B$24:$G$43,6))</f>
        <v>0</v>
      </c>
      <c r="E9" s="45">
        <f>IF(C9=0,0,HLOOKUP(C9,Compare!$B$24:$G$43,8))</f>
        <v>0</v>
      </c>
      <c r="F9" s="45">
        <f>-IF(C9=0,0,HLOOKUP(C9,Compare!$B$24:$G$43,12))</f>
        <v>0</v>
      </c>
      <c r="G9" s="45">
        <f>-IF(C9=0,0,HLOOKUP(C9,Compare!$B$24:$G$43,13))</f>
        <v>0</v>
      </c>
      <c r="H9" s="45">
        <f t="shared" ref="H9:H12" si="0">+E9-F9-G9</f>
        <v>0</v>
      </c>
    </row>
    <row r="10" spans="2:8" ht="15.75" thickBot="1" x14ac:dyDescent="0.3">
      <c r="B10" s="44" t="s">
        <v>37</v>
      </c>
      <c r="C10" s="6"/>
      <c r="D10" s="45">
        <f>IF(C10=0,0,HLOOKUP(C10,Compare!$B$24:$G$43,6))</f>
        <v>0</v>
      </c>
      <c r="E10" s="45">
        <f>IF(C10=0,0,HLOOKUP(C10,Compare!$B$24:$G$43,8))</f>
        <v>0</v>
      </c>
      <c r="F10" s="45">
        <f>-IF(C10=0,0,HLOOKUP(C10,Compare!$B$24:$G$43,12))</f>
        <v>0</v>
      </c>
      <c r="G10" s="45">
        <f>-IF(C10=0,0,HLOOKUP(C10,Compare!$B$24:$G$43,13))</f>
        <v>0</v>
      </c>
      <c r="H10" s="45">
        <f t="shared" si="0"/>
        <v>0</v>
      </c>
    </row>
    <row r="11" spans="2:8" ht="15.75" thickBot="1" x14ac:dyDescent="0.3">
      <c r="B11" s="44" t="s">
        <v>37</v>
      </c>
      <c r="C11" s="6"/>
      <c r="D11" s="45">
        <f>IF(C11=0,0,HLOOKUP(C11,Compare!$B$24:$G$43,6))</f>
        <v>0</v>
      </c>
      <c r="E11" s="45">
        <f>IF(C11=0,0,HLOOKUP(C11,Compare!$B$24:$G$43,8))</f>
        <v>0</v>
      </c>
      <c r="F11" s="45">
        <f>-IF(C11=0,0,HLOOKUP(C11,Compare!$B$24:$G$43,12))</f>
        <v>0</v>
      </c>
      <c r="G11" s="45">
        <f>-IF(C11=0,0,HLOOKUP(C11,Compare!$B$24:$G$43,13))</f>
        <v>0</v>
      </c>
      <c r="H11" s="45">
        <f t="shared" si="0"/>
        <v>0</v>
      </c>
    </row>
    <row r="12" spans="2:8" ht="15.75" thickBot="1" x14ac:dyDescent="0.3">
      <c r="B12" s="44" t="s">
        <v>37</v>
      </c>
      <c r="C12" s="6"/>
      <c r="D12" s="45">
        <f>IF(C12=0,0,HLOOKUP(C12,Compare!$B$24:$G$43,6))</f>
        <v>0</v>
      </c>
      <c r="E12" s="45">
        <f>IF(C12=0,0,HLOOKUP(C12,Compare!$B$24:$G$43,8))</f>
        <v>0</v>
      </c>
      <c r="F12" s="45">
        <f>-IF(C12=0,0,HLOOKUP(C12,Compare!$B$24:$G$43,12))</f>
        <v>0</v>
      </c>
      <c r="G12" s="45">
        <f>-IF(C12=0,0,HLOOKUP(C12,Compare!$B$24:$G$43,13))</f>
        <v>0</v>
      </c>
      <c r="H12" s="45">
        <f t="shared" si="0"/>
        <v>0</v>
      </c>
    </row>
    <row r="13" spans="2:8" x14ac:dyDescent="0.25">
      <c r="B13" s="44"/>
      <c r="C13" s="44"/>
      <c r="D13" s="45">
        <f>SUM(D8:D12)</f>
        <v>514242.81277480774</v>
      </c>
      <c r="E13" s="45">
        <f t="shared" ref="E13:G13" si="1">SUM(E8:E12)</f>
        <v>288543.06</v>
      </c>
      <c r="F13" s="45">
        <f t="shared" si="1"/>
        <v>288543.06</v>
      </c>
      <c r="G13" s="45">
        <f t="shared" si="1"/>
        <v>0</v>
      </c>
      <c r="H13" s="45">
        <f>SUM(H8:H12)</f>
        <v>0</v>
      </c>
    </row>
    <row r="14" spans="2:8" x14ac:dyDescent="0.25">
      <c r="B14" s="44"/>
      <c r="C14" s="44"/>
      <c r="D14" s="44"/>
      <c r="E14" s="44"/>
      <c r="F14" s="44"/>
      <c r="G14" s="44"/>
      <c r="H14" s="44"/>
    </row>
    <row r="15" spans="2:8" x14ac:dyDescent="0.25">
      <c r="B15" s="44"/>
      <c r="C15" s="44"/>
      <c r="D15" s="44"/>
      <c r="E15" s="44"/>
      <c r="F15" s="44"/>
      <c r="G15" s="44"/>
      <c r="H15" s="44"/>
    </row>
    <row r="16" spans="2:8" x14ac:dyDescent="0.25">
      <c r="B16" s="44" t="s">
        <v>40</v>
      </c>
      <c r="C16" s="44"/>
      <c r="D16" s="44"/>
      <c r="E16" s="44"/>
      <c r="F16" s="44"/>
      <c r="G16" s="44"/>
      <c r="H16" s="44"/>
    </row>
    <row r="17" spans="2:8" x14ac:dyDescent="0.25">
      <c r="B17" s="44"/>
      <c r="C17" s="44"/>
      <c r="D17" s="44"/>
      <c r="E17" s="44"/>
      <c r="F17" s="44"/>
      <c r="G17" s="44"/>
      <c r="H17" s="44"/>
    </row>
    <row r="18" spans="2:8" x14ac:dyDescent="0.25">
      <c r="B18" s="44" t="s">
        <v>38</v>
      </c>
      <c r="C18" s="45"/>
      <c r="D18" s="45">
        <f>+E13</f>
        <v>288543.06</v>
      </c>
      <c r="E18" s="45"/>
      <c r="F18" s="45"/>
      <c r="G18" s="45"/>
      <c r="H18" s="44"/>
    </row>
    <row r="19" spans="2:8" x14ac:dyDescent="0.25">
      <c r="B19" s="44" t="s">
        <v>158</v>
      </c>
      <c r="C19" s="45"/>
      <c r="D19" s="45">
        <f>(+C4*F4*'PIP  WIP'!F16)*(1+VLOOKUP(C3,'PIP  WIP'!B21:D28,3))</f>
        <v>37812.5</v>
      </c>
      <c r="E19" s="45"/>
      <c r="F19" s="45" t="s">
        <v>162</v>
      </c>
      <c r="G19" s="45"/>
      <c r="H19" s="44"/>
    </row>
    <row r="20" spans="2:8" ht="15.75" thickBot="1" x14ac:dyDescent="0.3">
      <c r="B20" s="44" t="s">
        <v>159</v>
      </c>
      <c r="C20" s="45"/>
      <c r="D20" s="110">
        <f>IF((C4*F4)&gt;4000,'PIP  WIP'!D45,(C4*F4)*'PIP  WIP'!F45)*(1+VLOOKUP('Practice Budget'!C3,'PIP  WIP'!B50:C57,2))</f>
        <v>45500</v>
      </c>
      <c r="E20" s="45"/>
      <c r="F20" s="45" t="s">
        <v>212</v>
      </c>
      <c r="G20" s="45"/>
      <c r="H20" s="44"/>
    </row>
    <row r="21" spans="2:8" ht="15.75" thickBot="1" x14ac:dyDescent="0.3">
      <c r="B21" s="44" t="s">
        <v>93</v>
      </c>
      <c r="C21" s="45"/>
      <c r="D21" s="87"/>
      <c r="E21" s="45"/>
      <c r="F21" s="45"/>
      <c r="G21" s="45"/>
      <c r="H21" s="44"/>
    </row>
    <row r="22" spans="2:8" ht="15.75" thickBot="1" x14ac:dyDescent="0.3">
      <c r="B22" s="44" t="s">
        <v>39</v>
      </c>
      <c r="C22" s="45"/>
      <c r="D22" s="87"/>
      <c r="E22" s="45"/>
      <c r="F22" s="45" t="s">
        <v>136</v>
      </c>
      <c r="G22" s="45"/>
      <c r="H22" s="44"/>
    </row>
    <row r="23" spans="2:8" x14ac:dyDescent="0.25">
      <c r="B23" s="46" t="s">
        <v>92</v>
      </c>
      <c r="C23" s="45"/>
      <c r="D23" s="45">
        <f>SUM(D18:D22)</f>
        <v>371855.56</v>
      </c>
      <c r="E23" s="45"/>
      <c r="F23" s="45"/>
      <c r="G23" s="45"/>
      <c r="H23" s="44"/>
    </row>
    <row r="24" spans="2:8" x14ac:dyDescent="0.25">
      <c r="B24" s="44"/>
      <c r="C24" s="45"/>
      <c r="D24" s="45"/>
      <c r="E24" s="45"/>
      <c r="F24" s="45"/>
      <c r="G24" s="45"/>
      <c r="H24" s="44"/>
    </row>
    <row r="25" spans="2:8" x14ac:dyDescent="0.25">
      <c r="B25" s="44" t="s">
        <v>94</v>
      </c>
      <c r="C25" s="45"/>
      <c r="D25" s="45"/>
      <c r="E25" s="45"/>
      <c r="F25" s="45"/>
      <c r="G25" s="45"/>
      <c r="H25" s="44"/>
    </row>
    <row r="26" spans="2:8" x14ac:dyDescent="0.25">
      <c r="B26" s="44"/>
      <c r="C26" s="45"/>
      <c r="D26" s="45"/>
      <c r="E26" s="45"/>
      <c r="F26" s="45"/>
      <c r="G26" s="45"/>
      <c r="H26" s="44"/>
    </row>
    <row r="27" spans="2:8" x14ac:dyDescent="0.25">
      <c r="B27" s="44" t="s">
        <v>129</v>
      </c>
      <c r="C27" s="45"/>
      <c r="D27" s="45">
        <f>+H13</f>
        <v>0</v>
      </c>
      <c r="E27" s="45"/>
      <c r="F27" s="45" t="s">
        <v>130</v>
      </c>
      <c r="G27" s="44"/>
      <c r="H27" s="44"/>
    </row>
    <row r="28" spans="2:8" x14ac:dyDescent="0.25">
      <c r="B28" s="44" t="s">
        <v>105</v>
      </c>
      <c r="C28" s="45"/>
      <c r="D28" s="45">
        <f>+'Practice staff salary build'!C21+'Practice staff salary build'!D21+'Practice staff salary build'!E21</f>
        <v>0</v>
      </c>
      <c r="E28" s="45"/>
      <c r="F28" s="45" t="s">
        <v>114</v>
      </c>
      <c r="G28" s="44"/>
      <c r="H28" s="44"/>
    </row>
    <row r="29" spans="2:8" x14ac:dyDescent="0.25">
      <c r="B29" s="44" t="s">
        <v>104</v>
      </c>
      <c r="C29" s="45"/>
      <c r="D29" s="45">
        <f>+'Practice staff salary build'!F21+'Practice staff salary build'!G21</f>
        <v>0</v>
      </c>
      <c r="E29" s="45"/>
      <c r="F29" s="45" t="s">
        <v>114</v>
      </c>
      <c r="G29" s="44"/>
      <c r="H29" s="44"/>
    </row>
    <row r="30" spans="2:8" ht="15.75" thickBot="1" x14ac:dyDescent="0.3">
      <c r="B30" s="44" t="s">
        <v>106</v>
      </c>
      <c r="C30" s="44"/>
      <c r="D30" s="88">
        <v>0</v>
      </c>
      <c r="E30" s="44"/>
      <c r="F30" s="45" t="s">
        <v>213</v>
      </c>
      <c r="G30" s="44"/>
      <c r="H30" s="44"/>
    </row>
    <row r="31" spans="2:8" ht="15.75" thickBot="1" x14ac:dyDescent="0.3">
      <c r="B31" s="44" t="s">
        <v>110</v>
      </c>
      <c r="C31" s="45"/>
      <c r="D31" s="87">
        <v>0</v>
      </c>
      <c r="E31" s="45"/>
      <c r="F31" s="45" t="s">
        <v>214</v>
      </c>
      <c r="G31" s="44"/>
      <c r="H31" s="44"/>
    </row>
    <row r="32" spans="2:8" ht="15.75" thickBot="1" x14ac:dyDescent="0.3">
      <c r="B32" s="44" t="s">
        <v>111</v>
      </c>
      <c r="C32" s="45"/>
      <c r="D32" s="89">
        <v>0</v>
      </c>
      <c r="E32" s="45"/>
      <c r="F32" s="45" t="s">
        <v>112</v>
      </c>
      <c r="G32" s="44"/>
      <c r="H32" s="44"/>
    </row>
    <row r="33" spans="2:8" ht="15.75" thickBot="1" x14ac:dyDescent="0.3">
      <c r="B33" s="44" t="s">
        <v>107</v>
      </c>
      <c r="C33" s="45"/>
      <c r="D33" s="87">
        <v>0</v>
      </c>
      <c r="E33" s="45"/>
      <c r="F33" s="45"/>
      <c r="G33" s="44"/>
      <c r="H33" s="44"/>
    </row>
    <row r="34" spans="2:8" ht="15.75" thickBot="1" x14ac:dyDescent="0.3">
      <c r="B34" s="44" t="s">
        <v>108</v>
      </c>
      <c r="C34" s="45"/>
      <c r="D34" s="87">
        <v>0</v>
      </c>
      <c r="E34" s="45"/>
      <c r="F34" s="45"/>
      <c r="G34" s="44"/>
      <c r="H34" s="44"/>
    </row>
    <row r="35" spans="2:8" ht="15.75" thickBot="1" x14ac:dyDescent="0.3">
      <c r="B35" s="44" t="s">
        <v>109</v>
      </c>
      <c r="C35" s="45"/>
      <c r="D35" s="87">
        <v>0</v>
      </c>
      <c r="E35" s="45"/>
      <c r="F35" s="45" t="s">
        <v>155</v>
      </c>
      <c r="G35" s="44"/>
      <c r="H35" s="44"/>
    </row>
    <row r="36" spans="2:8" ht="15.75" thickBot="1" x14ac:dyDescent="0.3">
      <c r="B36" s="44" t="s">
        <v>113</v>
      </c>
      <c r="C36" s="45"/>
      <c r="D36" s="87">
        <v>0</v>
      </c>
      <c r="E36" s="45"/>
      <c r="F36" s="45" t="s">
        <v>163</v>
      </c>
      <c r="G36" s="44"/>
      <c r="H36" s="44"/>
    </row>
    <row r="37" spans="2:8" x14ac:dyDescent="0.25">
      <c r="B37" s="44"/>
      <c r="C37" s="45"/>
      <c r="D37" s="45"/>
      <c r="E37" s="45"/>
      <c r="F37" s="45"/>
      <c r="G37" s="45"/>
      <c r="H37" s="44"/>
    </row>
    <row r="38" spans="2:8" x14ac:dyDescent="0.25">
      <c r="B38" s="46" t="s">
        <v>128</v>
      </c>
      <c r="C38" s="45"/>
      <c r="D38" s="45">
        <f>SUM(D27:D37)</f>
        <v>0</v>
      </c>
      <c r="E38" s="45"/>
      <c r="F38" s="45"/>
      <c r="G38" s="45"/>
      <c r="H38" s="44"/>
    </row>
    <row r="39" spans="2:8" x14ac:dyDescent="0.25">
      <c r="B39" s="44"/>
      <c r="C39" s="45"/>
      <c r="D39" s="45"/>
      <c r="E39" s="45"/>
      <c r="F39" s="45"/>
      <c r="G39" s="45"/>
      <c r="H39" s="44"/>
    </row>
    <row r="40" spans="2:8" x14ac:dyDescent="0.25">
      <c r="B40" s="44" t="s">
        <v>133</v>
      </c>
      <c r="C40" s="45"/>
      <c r="D40" s="45">
        <f>+D23-D38</f>
        <v>371855.56</v>
      </c>
      <c r="E40" s="45"/>
      <c r="F40" s="45"/>
      <c r="G40" s="45"/>
      <c r="H40" s="44"/>
    </row>
    <row r="41" spans="2:8" s="1" customFormat="1" x14ac:dyDescent="0.25">
      <c r="C41" s="47"/>
      <c r="D41" s="47"/>
      <c r="E41" s="47"/>
      <c r="F41" s="47"/>
      <c r="G41" s="47"/>
    </row>
    <row r="42" spans="2:8" s="1" customFormat="1" x14ac:dyDescent="0.25">
      <c r="B42" s="47" t="s">
        <v>165</v>
      </c>
      <c r="C42" s="47"/>
      <c r="D42" s="47">
        <f>+D13</f>
        <v>514242.81277480774</v>
      </c>
      <c r="E42" s="47"/>
      <c r="F42" s="47"/>
      <c r="G42" s="47"/>
    </row>
    <row r="43" spans="2:8" s="1" customFormat="1" x14ac:dyDescent="0.25">
      <c r="B43" s="1" t="s">
        <v>166</v>
      </c>
      <c r="C43" s="47"/>
      <c r="D43" s="47">
        <f>+D13-D40</f>
        <v>142387.25277480774</v>
      </c>
      <c r="E43" s="47"/>
      <c r="F43" s="106"/>
      <c r="G43" s="47"/>
    </row>
    <row r="44" spans="2:8" s="1" customFormat="1" x14ac:dyDescent="0.25">
      <c r="C44" s="47"/>
      <c r="D44" s="47"/>
      <c r="E44" s="47"/>
      <c r="F44" s="47"/>
      <c r="G44" s="47"/>
    </row>
    <row r="45" spans="2:8" s="1" customFormat="1" x14ac:dyDescent="0.25">
      <c r="C45" s="47"/>
      <c r="D45" s="47"/>
      <c r="E45" s="47"/>
      <c r="F45" s="47"/>
      <c r="G45" s="47"/>
    </row>
    <row r="46" spans="2:8" s="1" customFormat="1" x14ac:dyDescent="0.25"/>
    <row r="47" spans="2:8" s="1" customFormat="1" x14ac:dyDescent="0.25"/>
    <row r="48" spans="2: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sheetProtection algorithmName="SHA-512" hashValue="VFfRZxnu2p21s9S4uZg+ud8PmgRSXatOmmviurHcjyKrV/QsY6oNq5wGP/Rsaf8I3ubRAynTMVPYHRq8T3ypQA==" saltValue="3vONjw/m4JPcSTXvtejmqQ==" spinCount="100000" sheet="1" objects="1" scenarios="1"/>
  <mergeCells count="1">
    <mergeCell ref="B1:H1"/>
  </mergeCells>
  <dataValidations count="1">
    <dataValidation type="list" allowBlank="1" showInputMessage="1" showErrorMessage="1" sqref="C8:C11" xr:uid="{13BB9EDA-3A8D-4E6B-9AB2-7B9BABBD230A}">
      <formula1>"B, C, D, 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list" xr:uid="{E7593691-20ED-4643-881C-407DD0C8B336}">
          <x14:formula1>
            <xm:f>'Avg BB fee'!$C$7:$G$7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4561-D0C5-4D7A-921C-13A33B5250AF}">
  <dimension ref="B2:AS48"/>
  <sheetViews>
    <sheetView workbookViewId="0">
      <selection activeCell="N22" sqref="N22"/>
    </sheetView>
  </sheetViews>
  <sheetFormatPr defaultRowHeight="15" outlineLevelCol="1" x14ac:dyDescent="0.25"/>
  <cols>
    <col min="1" max="1" width="5.7109375" style="1" customWidth="1"/>
    <col min="2" max="2" width="39.5703125" style="68" customWidth="1"/>
    <col min="3" max="8" width="14.7109375" style="69" customWidth="1"/>
    <col min="9" max="9" width="3.85546875" style="2" customWidth="1"/>
    <col min="10" max="18" width="9.140625" style="1"/>
    <col min="19" max="19" width="30.28515625" style="1" customWidth="1" outlineLevel="1"/>
    <col min="20" max="45" width="11" style="1" customWidth="1" outlineLevel="1"/>
    <col min="46" max="16384" width="9.140625" style="1"/>
  </cols>
  <sheetData>
    <row r="2" spans="2:45" ht="26.25" x14ac:dyDescent="0.4">
      <c r="B2" s="70" t="s">
        <v>154</v>
      </c>
      <c r="C2" s="70"/>
      <c r="D2" s="68"/>
      <c r="E2" s="68"/>
      <c r="F2" s="68"/>
      <c r="G2" s="68"/>
      <c r="H2" s="68"/>
      <c r="I2" s="1"/>
    </row>
    <row r="3" spans="2:45" ht="17.25" customHeight="1" thickBot="1" x14ac:dyDescent="0.45">
      <c r="B3" s="70"/>
      <c r="C3" s="70"/>
      <c r="D3" s="68"/>
      <c r="E3" s="68"/>
      <c r="F3" s="68"/>
      <c r="G3" s="68"/>
      <c r="H3" s="68"/>
      <c r="I3" s="1"/>
    </row>
    <row r="4" spans="2:45" ht="24.75" customHeight="1" thickBot="1" x14ac:dyDescent="0.3">
      <c r="B4" s="71" t="s">
        <v>192</v>
      </c>
      <c r="C4" s="90">
        <v>3</v>
      </c>
      <c r="D4" s="68"/>
      <c r="E4" s="68"/>
      <c r="F4" s="68"/>
      <c r="G4" s="68"/>
      <c r="H4" s="68"/>
      <c r="I4" s="1"/>
      <c r="S4" s="111" t="s">
        <v>223</v>
      </c>
      <c r="U4" s="1" t="s">
        <v>224</v>
      </c>
    </row>
    <row r="5" spans="2:45" ht="9.75" customHeight="1" thickBot="1" x14ac:dyDescent="0.3">
      <c r="B5" s="71"/>
      <c r="C5" s="72"/>
      <c r="D5" s="68"/>
      <c r="E5" s="68"/>
      <c r="F5" s="68"/>
      <c r="G5" s="68"/>
      <c r="H5" s="68"/>
      <c r="I5" s="1"/>
    </row>
    <row r="6" spans="2:45" ht="24.75" customHeight="1" thickBot="1" x14ac:dyDescent="0.3">
      <c r="B6" s="71" t="s">
        <v>193</v>
      </c>
      <c r="C6" s="90" t="s">
        <v>208</v>
      </c>
      <c r="D6" s="68"/>
      <c r="E6" s="68"/>
      <c r="F6" s="68"/>
      <c r="G6" s="68"/>
      <c r="H6" s="68"/>
      <c r="I6" s="1"/>
      <c r="S6" s="1" t="s">
        <v>184</v>
      </c>
    </row>
    <row r="7" spans="2:45" ht="15.75" thickBot="1" x14ac:dyDescent="0.3">
      <c r="C7" s="68"/>
      <c r="D7" s="68"/>
      <c r="E7" s="68"/>
      <c r="F7" s="68"/>
      <c r="G7" s="68"/>
      <c r="H7" s="68"/>
      <c r="I7" s="1"/>
    </row>
    <row r="8" spans="2:45" ht="27.75" customHeight="1" thickBot="1" x14ac:dyDescent="0.3">
      <c r="B8" s="94"/>
      <c r="C8" s="95" t="s">
        <v>146</v>
      </c>
      <c r="D8" s="95" t="s">
        <v>145</v>
      </c>
      <c r="E8" s="95" t="s">
        <v>146</v>
      </c>
      <c r="F8" s="95" t="s">
        <v>146</v>
      </c>
      <c r="G8" s="95" t="s">
        <v>179</v>
      </c>
      <c r="H8" s="95" t="s">
        <v>150</v>
      </c>
      <c r="I8" s="1"/>
      <c r="S8" s="63"/>
      <c r="T8" s="60" t="s">
        <v>150</v>
      </c>
      <c r="U8" s="60" t="s">
        <v>179</v>
      </c>
      <c r="V8" s="60" t="s">
        <v>146</v>
      </c>
      <c r="W8" s="60" t="s">
        <v>146</v>
      </c>
      <c r="X8" s="60" t="s">
        <v>146</v>
      </c>
      <c r="Y8" s="60" t="s">
        <v>146</v>
      </c>
      <c r="Z8" s="60" t="s">
        <v>146</v>
      </c>
      <c r="AA8" s="60" t="s">
        <v>146</v>
      </c>
      <c r="AB8" s="60" t="s">
        <v>146</v>
      </c>
      <c r="AC8" s="60" t="s">
        <v>146</v>
      </c>
      <c r="AD8" s="60" t="s">
        <v>146</v>
      </c>
      <c r="AE8" s="60" t="s">
        <v>146</v>
      </c>
      <c r="AF8" s="60" t="s">
        <v>146</v>
      </c>
      <c r="AG8" s="60" t="s">
        <v>146</v>
      </c>
      <c r="AH8" s="60" t="s">
        <v>146</v>
      </c>
      <c r="AI8" s="60" t="s">
        <v>146</v>
      </c>
      <c r="AJ8" s="60" t="s">
        <v>146</v>
      </c>
      <c r="AK8" s="60" t="s">
        <v>145</v>
      </c>
      <c r="AL8" s="60" t="s">
        <v>145</v>
      </c>
      <c r="AM8" s="60" t="s">
        <v>145</v>
      </c>
      <c r="AN8" s="60" t="s">
        <v>145</v>
      </c>
      <c r="AO8" s="60" t="s">
        <v>145</v>
      </c>
      <c r="AP8" s="60" t="s">
        <v>145</v>
      </c>
      <c r="AQ8" s="60" t="s">
        <v>145</v>
      </c>
      <c r="AR8" s="60" t="s">
        <v>145</v>
      </c>
      <c r="AS8" s="60" t="s">
        <v>145</v>
      </c>
    </row>
    <row r="9" spans="2:45" ht="27.75" customHeight="1" thickBot="1" x14ac:dyDescent="0.3">
      <c r="B9" s="96" t="s">
        <v>96</v>
      </c>
      <c r="C9" s="97" t="s">
        <v>178</v>
      </c>
      <c r="D9" s="97" t="s">
        <v>204</v>
      </c>
      <c r="E9" s="97" t="s">
        <v>170</v>
      </c>
      <c r="F9" s="97" t="s">
        <v>170</v>
      </c>
      <c r="G9" s="97" t="s">
        <v>206</v>
      </c>
      <c r="H9" s="97" t="s">
        <v>207</v>
      </c>
      <c r="I9" s="1"/>
      <c r="S9" s="64" t="s">
        <v>96</v>
      </c>
      <c r="T9" s="61" t="s">
        <v>207</v>
      </c>
      <c r="U9" s="61" t="s">
        <v>206</v>
      </c>
      <c r="V9" s="61" t="s">
        <v>178</v>
      </c>
      <c r="W9" s="61" t="s">
        <v>180</v>
      </c>
      <c r="X9" s="61" t="s">
        <v>181</v>
      </c>
      <c r="Y9" s="61" t="s">
        <v>182</v>
      </c>
      <c r="Z9" s="61" t="s">
        <v>183</v>
      </c>
      <c r="AA9" s="61" t="s">
        <v>147</v>
      </c>
      <c r="AB9" s="61" t="s">
        <v>169</v>
      </c>
      <c r="AC9" s="61" t="s">
        <v>170</v>
      </c>
      <c r="AD9" s="61" t="s">
        <v>171</v>
      </c>
      <c r="AE9" s="61" t="s">
        <v>172</v>
      </c>
      <c r="AF9" s="61" t="s">
        <v>173</v>
      </c>
      <c r="AG9" s="61" t="s">
        <v>174</v>
      </c>
      <c r="AH9" s="61" t="s">
        <v>175</v>
      </c>
      <c r="AI9" s="61" t="s">
        <v>176</v>
      </c>
      <c r="AJ9" s="61" t="s">
        <v>177</v>
      </c>
      <c r="AK9" s="61" t="s">
        <v>197</v>
      </c>
      <c r="AL9" s="61" t="s">
        <v>198</v>
      </c>
      <c r="AM9" s="61" t="s">
        <v>199</v>
      </c>
      <c r="AN9" s="61" t="s">
        <v>200</v>
      </c>
      <c r="AO9" s="61" t="s">
        <v>201</v>
      </c>
      <c r="AP9" s="61" t="s">
        <v>202</v>
      </c>
      <c r="AQ9" s="61" t="s">
        <v>203</v>
      </c>
      <c r="AR9" s="61" t="s">
        <v>204</v>
      </c>
      <c r="AS9" s="61" t="s">
        <v>205</v>
      </c>
    </row>
    <row r="10" spans="2:45" ht="27.75" customHeight="1" thickBot="1" x14ac:dyDescent="0.3">
      <c r="B10" s="98" t="s">
        <v>152</v>
      </c>
      <c r="C10" s="99" t="s">
        <v>151</v>
      </c>
      <c r="D10" s="99" t="s">
        <v>151</v>
      </c>
      <c r="E10" s="99" t="s">
        <v>148</v>
      </c>
      <c r="F10" s="99" t="s">
        <v>149</v>
      </c>
      <c r="G10" s="99" t="s">
        <v>151</v>
      </c>
      <c r="H10" s="99" t="s">
        <v>151</v>
      </c>
      <c r="I10" s="1"/>
      <c r="S10" s="64"/>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row>
    <row r="11" spans="2:45" ht="27.75" customHeight="1" thickBot="1" x14ac:dyDescent="0.3">
      <c r="B11" s="100" t="s">
        <v>10</v>
      </c>
      <c r="C11" s="101">
        <f t="shared" ref="C11:H11" si="0">HLOOKUP(C$9,$S$9:$AS$26,3)</f>
        <v>182106</v>
      </c>
      <c r="D11" s="101">
        <f t="shared" si="0"/>
        <v>204910</v>
      </c>
      <c r="E11" s="101">
        <f t="shared" si="0"/>
        <v>222435</v>
      </c>
      <c r="F11" s="101">
        <f t="shared" si="0"/>
        <v>222435</v>
      </c>
      <c r="G11" s="101">
        <f t="shared" si="0"/>
        <v>176528</v>
      </c>
      <c r="H11" s="101">
        <f t="shared" si="0"/>
        <v>142727</v>
      </c>
      <c r="I11" s="1"/>
      <c r="S11" s="65" t="s">
        <v>10</v>
      </c>
      <c r="T11" s="66">
        <v>142727</v>
      </c>
      <c r="U11" s="66">
        <v>176528</v>
      </c>
      <c r="V11" s="66">
        <v>182106</v>
      </c>
      <c r="W11" s="66">
        <v>187801</v>
      </c>
      <c r="X11" s="66">
        <v>193468</v>
      </c>
      <c r="Y11" s="66">
        <v>199213</v>
      </c>
      <c r="Z11" s="66">
        <v>204910</v>
      </c>
      <c r="AA11" s="66">
        <v>210332</v>
      </c>
      <c r="AB11" s="66">
        <v>215967</v>
      </c>
      <c r="AC11" s="66">
        <v>222435</v>
      </c>
      <c r="AD11" s="66">
        <v>227232</v>
      </c>
      <c r="AE11" s="66">
        <v>232870</v>
      </c>
      <c r="AF11" s="66">
        <v>238511</v>
      </c>
      <c r="AG11" s="66">
        <v>244313</v>
      </c>
      <c r="AH11" s="66">
        <v>251527</v>
      </c>
      <c r="AI11" s="66">
        <v>259155</v>
      </c>
      <c r="AJ11" s="66">
        <v>266677</v>
      </c>
      <c r="AK11" s="66">
        <v>182106</v>
      </c>
      <c r="AL11" s="66">
        <v>187801</v>
      </c>
      <c r="AM11" s="66">
        <v>193468</v>
      </c>
      <c r="AN11" s="66">
        <v>182106</v>
      </c>
      <c r="AO11" s="66">
        <v>187801</v>
      </c>
      <c r="AP11" s="66">
        <v>193468</v>
      </c>
      <c r="AQ11" s="66">
        <v>199213</v>
      </c>
      <c r="AR11" s="66">
        <v>204910</v>
      </c>
      <c r="AS11" s="66">
        <v>210332</v>
      </c>
    </row>
    <row r="12" spans="2:45" ht="27.75" customHeight="1" thickBot="1" x14ac:dyDescent="0.3">
      <c r="B12" s="100" t="s">
        <v>230</v>
      </c>
      <c r="C12" s="101">
        <f>+C11*(0.175*(4/52))</f>
        <v>2451.4269230769232</v>
      </c>
      <c r="D12" s="101">
        <f t="shared" ref="D12:H12" si="1">+D11*(0.175*(4/52))</f>
        <v>2758.4038461538462</v>
      </c>
      <c r="E12" s="101">
        <f t="shared" si="1"/>
        <v>2994.3173076923081</v>
      </c>
      <c r="F12" s="101">
        <f t="shared" si="1"/>
        <v>2994.3173076923081</v>
      </c>
      <c r="G12" s="101">
        <f t="shared" si="1"/>
        <v>2376.3384615384616</v>
      </c>
      <c r="H12" s="101">
        <f t="shared" si="1"/>
        <v>1921.325</v>
      </c>
      <c r="I12" s="1"/>
      <c r="S12" s="65"/>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2:45" ht="27.75" customHeight="1" thickBot="1" x14ac:dyDescent="0.3">
      <c r="B13" s="100" t="s">
        <v>189</v>
      </c>
      <c r="C13" s="101">
        <f>HLOOKUP(C$9,$S$9:$AS$26,5)</f>
        <v>21000</v>
      </c>
      <c r="D13" s="101">
        <f t="shared" ref="D13:H13" si="2">HLOOKUP(D$9,$S$9:$AS$26,5)</f>
        <v>21000</v>
      </c>
      <c r="E13" s="101">
        <f t="shared" si="2"/>
        <v>21000</v>
      </c>
      <c r="F13" s="101">
        <f t="shared" si="2"/>
        <v>21000</v>
      </c>
      <c r="G13" s="101">
        <f t="shared" si="2"/>
        <v>0</v>
      </c>
      <c r="H13" s="101">
        <f t="shared" si="2"/>
        <v>0</v>
      </c>
      <c r="I13" s="1"/>
      <c r="S13" s="65" t="s">
        <v>186</v>
      </c>
      <c r="T13" s="66">
        <v>0</v>
      </c>
      <c r="U13" s="66">
        <v>0</v>
      </c>
      <c r="V13" s="66">
        <v>21000</v>
      </c>
      <c r="W13" s="66">
        <v>21000</v>
      </c>
      <c r="X13" s="66">
        <v>21000</v>
      </c>
      <c r="Y13" s="66">
        <v>21000</v>
      </c>
      <c r="Z13" s="66">
        <v>21000</v>
      </c>
      <c r="AA13" s="66">
        <v>21000</v>
      </c>
      <c r="AB13" s="66">
        <v>21000</v>
      </c>
      <c r="AC13" s="66">
        <v>21000</v>
      </c>
      <c r="AD13" s="66">
        <v>21000</v>
      </c>
      <c r="AE13" s="66">
        <v>21000</v>
      </c>
      <c r="AF13" s="66">
        <v>21000</v>
      </c>
      <c r="AG13" s="66">
        <v>21000</v>
      </c>
      <c r="AH13" s="66">
        <v>25500</v>
      </c>
      <c r="AI13" s="66">
        <v>25500</v>
      </c>
      <c r="AJ13" s="66">
        <v>25500</v>
      </c>
      <c r="AK13" s="66">
        <v>21000</v>
      </c>
      <c r="AL13" s="66">
        <v>21000</v>
      </c>
      <c r="AM13" s="66">
        <v>21000</v>
      </c>
      <c r="AN13" s="66">
        <v>21000</v>
      </c>
      <c r="AO13" s="66">
        <v>21000</v>
      </c>
      <c r="AP13" s="66">
        <v>21000</v>
      </c>
      <c r="AQ13" s="66">
        <v>21000</v>
      </c>
      <c r="AR13" s="66">
        <v>21000</v>
      </c>
      <c r="AS13" s="66">
        <v>21000</v>
      </c>
    </row>
    <row r="14" spans="2:45" ht="27.75" customHeight="1" thickBot="1" x14ac:dyDescent="0.3">
      <c r="B14" s="100" t="s">
        <v>190</v>
      </c>
      <c r="C14" s="101">
        <f>HLOOKUP(C9,$S$9:$AS$26,6)</f>
        <v>21500</v>
      </c>
      <c r="D14" s="101">
        <f t="shared" ref="D14:H14" si="3">HLOOKUP(D9,$S$9:$AS$26,6)</f>
        <v>21500</v>
      </c>
      <c r="E14" s="101">
        <f t="shared" si="3"/>
        <v>21500</v>
      </c>
      <c r="F14" s="101">
        <f t="shared" si="3"/>
        <v>21500</v>
      </c>
      <c r="G14" s="101">
        <f t="shared" si="3"/>
        <v>4402</v>
      </c>
      <c r="H14" s="101">
        <f t="shared" si="3"/>
        <v>2640</v>
      </c>
      <c r="I14" s="1"/>
      <c r="S14" s="65" t="s">
        <v>187</v>
      </c>
      <c r="T14" s="66">
        <v>2640</v>
      </c>
      <c r="U14" s="66">
        <v>4402</v>
      </c>
      <c r="V14" s="66">
        <v>21500</v>
      </c>
      <c r="W14" s="66">
        <v>21500</v>
      </c>
      <c r="X14" s="66">
        <v>21500</v>
      </c>
      <c r="Y14" s="66">
        <v>21500</v>
      </c>
      <c r="Z14" s="66">
        <v>21500</v>
      </c>
      <c r="AA14" s="66">
        <v>21500</v>
      </c>
      <c r="AB14" s="66">
        <v>21500</v>
      </c>
      <c r="AC14" s="66">
        <v>21500</v>
      </c>
      <c r="AD14" s="66">
        <v>21500</v>
      </c>
      <c r="AE14" s="66">
        <v>21500</v>
      </c>
      <c r="AF14" s="66">
        <v>21500</v>
      </c>
      <c r="AG14" s="66">
        <v>21500</v>
      </c>
      <c r="AH14" s="66">
        <v>21500</v>
      </c>
      <c r="AI14" s="66">
        <v>21500</v>
      </c>
      <c r="AJ14" s="66">
        <v>21500</v>
      </c>
      <c r="AK14" s="66">
        <v>21500</v>
      </c>
      <c r="AL14" s="66">
        <v>21500</v>
      </c>
      <c r="AM14" s="66">
        <v>21500</v>
      </c>
      <c r="AN14" s="66">
        <v>21500</v>
      </c>
      <c r="AO14" s="66">
        <v>21500</v>
      </c>
      <c r="AP14" s="66">
        <v>21500</v>
      </c>
      <c r="AQ14" s="66">
        <v>21500</v>
      </c>
      <c r="AR14" s="66">
        <v>21500</v>
      </c>
      <c r="AS14" s="66">
        <v>21500</v>
      </c>
    </row>
    <row r="15" spans="2:45" ht="27.75" customHeight="1" thickBot="1" x14ac:dyDescent="0.3">
      <c r="B15" s="100" t="s">
        <v>231</v>
      </c>
      <c r="C15" s="101">
        <v>0</v>
      </c>
      <c r="D15" s="101">
        <v>0</v>
      </c>
      <c r="E15" s="101">
        <v>0</v>
      </c>
      <c r="F15" s="101">
        <v>0</v>
      </c>
      <c r="G15" s="101">
        <v>0</v>
      </c>
      <c r="H15" s="101">
        <v>0</v>
      </c>
      <c r="I15" s="1"/>
      <c r="S15" s="65"/>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2:45" ht="27.75" customHeight="1" thickBot="1" x14ac:dyDescent="0.3">
      <c r="B16" s="100" t="s">
        <v>195</v>
      </c>
      <c r="C16" s="101">
        <f t="shared" ref="C16:H16" si="4">IF(C$8="SMO",IF(C$10="Assigned",C$11*0.4,C$11*0.15),0)</f>
        <v>27315.899999999998</v>
      </c>
      <c r="D16" s="101">
        <f t="shared" si="4"/>
        <v>0</v>
      </c>
      <c r="E16" s="101">
        <f t="shared" si="4"/>
        <v>88974</v>
      </c>
      <c r="F16" s="101">
        <f t="shared" si="4"/>
        <v>33365.25</v>
      </c>
      <c r="G16" s="101">
        <f t="shared" si="4"/>
        <v>0</v>
      </c>
      <c r="H16" s="101">
        <f t="shared" si="4"/>
        <v>0</v>
      </c>
      <c r="I16" s="1"/>
      <c r="S16" s="65"/>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2:45" ht="27.75" customHeight="1" thickBot="1" x14ac:dyDescent="0.3">
      <c r="B17" s="100" t="s">
        <v>194</v>
      </c>
      <c r="C17" s="101">
        <f>HLOOKUP(C$9,$S$9:$AS$26,9)</f>
        <v>27315.899999999998</v>
      </c>
      <c r="D17" s="101">
        <f t="shared" ref="D17:H17" si="5">HLOOKUP(D$9,$S$9:$AS$26,9)</f>
        <v>0</v>
      </c>
      <c r="E17" s="101">
        <f t="shared" si="5"/>
        <v>33365.25</v>
      </c>
      <c r="F17" s="101">
        <f t="shared" si="5"/>
        <v>33365.25</v>
      </c>
      <c r="G17" s="101">
        <f t="shared" si="5"/>
        <v>0</v>
      </c>
      <c r="H17" s="101">
        <f t="shared" si="5"/>
        <v>0</v>
      </c>
      <c r="I17" s="1"/>
      <c r="S17" s="65" t="s">
        <v>196</v>
      </c>
      <c r="T17" s="66"/>
      <c r="U17" s="66"/>
      <c r="V17" s="66">
        <f t="shared" ref="V17:AJ17" si="6">IF($C$4=1,V$11*0.05, IF($C$4=2,V$11*0.1,IF($C$4=3,V$11*0.15,0)))</f>
        <v>27315.899999999998</v>
      </c>
      <c r="W17" s="66">
        <f t="shared" si="6"/>
        <v>28170.149999999998</v>
      </c>
      <c r="X17" s="66">
        <f t="shared" si="6"/>
        <v>29020.2</v>
      </c>
      <c r="Y17" s="66">
        <f t="shared" si="6"/>
        <v>29881.949999999997</v>
      </c>
      <c r="Z17" s="66">
        <f t="shared" si="6"/>
        <v>30736.5</v>
      </c>
      <c r="AA17" s="66">
        <f t="shared" si="6"/>
        <v>31549.8</v>
      </c>
      <c r="AB17" s="66">
        <f t="shared" si="6"/>
        <v>32395.05</v>
      </c>
      <c r="AC17" s="66">
        <f t="shared" si="6"/>
        <v>33365.25</v>
      </c>
      <c r="AD17" s="66">
        <f t="shared" si="6"/>
        <v>34084.799999999996</v>
      </c>
      <c r="AE17" s="66">
        <f t="shared" si="6"/>
        <v>34930.5</v>
      </c>
      <c r="AF17" s="66">
        <f t="shared" si="6"/>
        <v>35776.65</v>
      </c>
      <c r="AG17" s="66">
        <f t="shared" si="6"/>
        <v>36646.949999999997</v>
      </c>
      <c r="AH17" s="66">
        <f t="shared" si="6"/>
        <v>37729.049999999996</v>
      </c>
      <c r="AI17" s="66">
        <f t="shared" si="6"/>
        <v>38873.25</v>
      </c>
      <c r="AJ17" s="66">
        <f t="shared" si="6"/>
        <v>40001.549999999996</v>
      </c>
      <c r="AK17" s="66"/>
      <c r="AL17" s="66"/>
      <c r="AM17" s="66"/>
      <c r="AN17" s="66"/>
      <c r="AO17" s="66"/>
      <c r="AP17" s="66"/>
      <c r="AQ17" s="66"/>
      <c r="AR17" s="66"/>
      <c r="AS17" s="66"/>
    </row>
    <row r="18" spans="2:45" ht="27.75" customHeight="1" thickBot="1" x14ac:dyDescent="0.3">
      <c r="B18" s="100" t="s">
        <v>191</v>
      </c>
      <c r="C18" s="101">
        <f>HLOOKUP($C$9,$S$9:$AS$26,10)</f>
        <v>34500</v>
      </c>
      <c r="D18" s="101">
        <f t="shared" ref="D18:H18" si="7">HLOOKUP($C$9,$S$9:$AS$26,10)</f>
        <v>34500</v>
      </c>
      <c r="E18" s="101">
        <f t="shared" si="7"/>
        <v>34500</v>
      </c>
      <c r="F18" s="101">
        <f t="shared" si="7"/>
        <v>34500</v>
      </c>
      <c r="G18" s="101">
        <f t="shared" si="7"/>
        <v>34500</v>
      </c>
      <c r="H18" s="101">
        <f t="shared" si="7"/>
        <v>34500</v>
      </c>
      <c r="I18" s="1"/>
      <c r="S18" s="65" t="s">
        <v>188</v>
      </c>
      <c r="T18" s="66"/>
      <c r="U18" s="66"/>
      <c r="V18" s="66">
        <f>IF($C$6="Cat 1",48300,IF($C$6="Cat 2",41400,IF($C$6="Cat 3",34500,IF($C$6="Cat 4",27600,IF($C$6="Cat 5",20700,IF($C$6="Cat 6",13800,IF($C$6="Cat 7",6900,0)))))))</f>
        <v>34500</v>
      </c>
      <c r="W18" s="66">
        <f t="shared" ref="W18:AS18" si="8">IF($C$6="Cat 1",48300,IF($C$6="Cat 2",41400,IF($C$6="Cat 3",34500,IF($C$6="Cat 4",27600,IF($C$6="Cat 5",20700,IF($C$6="Cat 6",13800,IF($C$6="Cat 7",6900,0)))))))</f>
        <v>34500</v>
      </c>
      <c r="X18" s="66">
        <f t="shared" si="8"/>
        <v>34500</v>
      </c>
      <c r="Y18" s="66">
        <f t="shared" si="8"/>
        <v>34500</v>
      </c>
      <c r="Z18" s="66">
        <f t="shared" si="8"/>
        <v>34500</v>
      </c>
      <c r="AA18" s="66">
        <f t="shared" si="8"/>
        <v>34500</v>
      </c>
      <c r="AB18" s="66">
        <f t="shared" si="8"/>
        <v>34500</v>
      </c>
      <c r="AC18" s="66">
        <f t="shared" si="8"/>
        <v>34500</v>
      </c>
      <c r="AD18" s="66">
        <f t="shared" si="8"/>
        <v>34500</v>
      </c>
      <c r="AE18" s="66">
        <f t="shared" si="8"/>
        <v>34500</v>
      </c>
      <c r="AF18" s="66">
        <f t="shared" si="8"/>
        <v>34500</v>
      </c>
      <c r="AG18" s="66">
        <f t="shared" si="8"/>
        <v>34500</v>
      </c>
      <c r="AH18" s="66">
        <f t="shared" si="8"/>
        <v>34500</v>
      </c>
      <c r="AI18" s="66">
        <f t="shared" si="8"/>
        <v>34500</v>
      </c>
      <c r="AJ18" s="66">
        <f t="shared" si="8"/>
        <v>34500</v>
      </c>
      <c r="AK18" s="66">
        <f t="shared" si="8"/>
        <v>34500</v>
      </c>
      <c r="AL18" s="66">
        <f t="shared" si="8"/>
        <v>34500</v>
      </c>
      <c r="AM18" s="66">
        <f t="shared" si="8"/>
        <v>34500</v>
      </c>
      <c r="AN18" s="66">
        <f t="shared" si="8"/>
        <v>34500</v>
      </c>
      <c r="AO18" s="66">
        <f t="shared" si="8"/>
        <v>34500</v>
      </c>
      <c r="AP18" s="66">
        <f t="shared" si="8"/>
        <v>34500</v>
      </c>
      <c r="AQ18" s="66">
        <f t="shared" si="8"/>
        <v>34500</v>
      </c>
      <c r="AR18" s="66">
        <f t="shared" si="8"/>
        <v>34500</v>
      </c>
      <c r="AS18" s="66">
        <f t="shared" si="8"/>
        <v>34500</v>
      </c>
    </row>
    <row r="19" spans="2:45" ht="27.75" customHeight="1" thickBot="1" x14ac:dyDescent="0.3">
      <c r="B19" s="100" t="s">
        <v>217</v>
      </c>
      <c r="C19" s="101">
        <f>IF(C$8="SMO",C$11*0.1203,0)</f>
        <v>21907.3518</v>
      </c>
      <c r="D19" s="101">
        <f t="shared" ref="D19:H19" si="9">IF(D$8="SMO",D$11*0.1203,0)</f>
        <v>0</v>
      </c>
      <c r="E19" s="101">
        <f t="shared" si="9"/>
        <v>26758.930500000002</v>
      </c>
      <c r="F19" s="101">
        <f t="shared" si="9"/>
        <v>26758.930500000002</v>
      </c>
      <c r="G19" s="101">
        <f>IF(G$8="SMO",G$11*0.1203,G$11*0.12)</f>
        <v>21183.360000000001</v>
      </c>
      <c r="H19" s="101">
        <f t="shared" si="9"/>
        <v>0</v>
      </c>
      <c r="I19" s="1"/>
      <c r="S19" s="65"/>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2:45" ht="27.75" customHeight="1" thickBot="1" x14ac:dyDescent="0.3">
      <c r="B20" s="100" t="s">
        <v>9</v>
      </c>
      <c r="C20" s="101">
        <v>0</v>
      </c>
      <c r="D20" s="101">
        <v>0</v>
      </c>
      <c r="E20" s="101">
        <v>0</v>
      </c>
      <c r="F20" s="101">
        <v>0</v>
      </c>
      <c r="G20" s="101">
        <v>0</v>
      </c>
      <c r="H20" s="101">
        <v>0</v>
      </c>
      <c r="I20" s="1"/>
      <c r="S20" s="65"/>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2:45" ht="27.75" customHeight="1" thickBot="1" x14ac:dyDescent="0.3">
      <c r="B21" s="100" t="s">
        <v>7</v>
      </c>
      <c r="C21" s="101">
        <f t="shared" ref="C21:H21" si="10">+C11*0.1275</f>
        <v>23218.514999999999</v>
      </c>
      <c r="D21" s="101">
        <f t="shared" si="10"/>
        <v>26126.025000000001</v>
      </c>
      <c r="E21" s="101">
        <f t="shared" si="10"/>
        <v>28360.462500000001</v>
      </c>
      <c r="F21" s="101">
        <f t="shared" si="10"/>
        <v>28360.462500000001</v>
      </c>
      <c r="G21" s="101">
        <f t="shared" si="10"/>
        <v>22507.32</v>
      </c>
      <c r="H21" s="101">
        <f t="shared" si="10"/>
        <v>18197.692500000001</v>
      </c>
      <c r="I21" s="1"/>
      <c r="S21" s="65"/>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2:45" ht="27.75" customHeight="1" thickBot="1" x14ac:dyDescent="0.3">
      <c r="B22" s="98" t="s">
        <v>8</v>
      </c>
      <c r="C22" s="102">
        <f>SUM(C11:C21)</f>
        <v>361315.09372307692</v>
      </c>
      <c r="D22" s="102">
        <f t="shared" ref="D22:H22" si="11">SUM(D11:D21)</f>
        <v>310794.4288461539</v>
      </c>
      <c r="E22" s="102">
        <f t="shared" si="11"/>
        <v>479887.96030769235</v>
      </c>
      <c r="F22" s="102">
        <f t="shared" si="11"/>
        <v>424279.21030769235</v>
      </c>
      <c r="G22" s="102">
        <f t="shared" si="11"/>
        <v>261497.01846153848</v>
      </c>
      <c r="H22" s="102">
        <f t="shared" si="11"/>
        <v>199986.01750000002</v>
      </c>
      <c r="I22" s="1"/>
      <c r="S22" s="64"/>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pans="2:45" ht="27.75" customHeight="1" thickBot="1" x14ac:dyDescent="0.3">
      <c r="B23" s="100" t="s">
        <v>215</v>
      </c>
      <c r="C23" s="101">
        <f t="shared" ref="C23:H23" si="12">+SUM(C11:C19)*0.015</f>
        <v>5071.4486808461534</v>
      </c>
      <c r="D23" s="101">
        <f t="shared" si="12"/>
        <v>4270.0260576923083</v>
      </c>
      <c r="E23" s="101">
        <f>+SUM(E11:E19)*0.015</f>
        <v>6772.912467115385</v>
      </c>
      <c r="F23" s="101">
        <f t="shared" si="12"/>
        <v>5938.7812171153846</v>
      </c>
      <c r="G23" s="101">
        <f t="shared" si="12"/>
        <v>3584.8454769230771</v>
      </c>
      <c r="H23" s="101">
        <f t="shared" si="12"/>
        <v>2726.8248750000002</v>
      </c>
      <c r="I23" s="1"/>
      <c r="S23" s="65"/>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2:45" ht="27.75" customHeight="1" thickBot="1" x14ac:dyDescent="0.3">
      <c r="B24" s="100" t="s">
        <v>216</v>
      </c>
      <c r="C24" s="101">
        <f>C11*0.096</f>
        <v>17482.175999999999</v>
      </c>
      <c r="D24" s="101">
        <f t="shared" ref="D24:H24" si="13">D11*0.096</f>
        <v>19671.36</v>
      </c>
      <c r="E24" s="101">
        <f t="shared" si="13"/>
        <v>21353.760000000002</v>
      </c>
      <c r="F24" s="101">
        <f t="shared" si="13"/>
        <v>21353.760000000002</v>
      </c>
      <c r="G24" s="101">
        <f t="shared" si="13"/>
        <v>16946.688000000002</v>
      </c>
      <c r="H24" s="101">
        <f t="shared" si="13"/>
        <v>13701.791999999999</v>
      </c>
      <c r="I24" s="1"/>
      <c r="S24" s="65"/>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2:45" ht="27.75" customHeight="1" thickBot="1" x14ac:dyDescent="0.3">
      <c r="B25" s="100" t="s">
        <v>210</v>
      </c>
      <c r="C25" s="101">
        <f>C11*0.028</f>
        <v>5098.9679999999998</v>
      </c>
      <c r="D25" s="101">
        <f t="shared" ref="D25:H25" si="14">D11*0.028</f>
        <v>5737.4800000000005</v>
      </c>
      <c r="E25" s="101">
        <f t="shared" si="14"/>
        <v>6228.18</v>
      </c>
      <c r="F25" s="101">
        <f t="shared" si="14"/>
        <v>6228.18</v>
      </c>
      <c r="G25" s="101">
        <f t="shared" si="14"/>
        <v>4942.7839999999997</v>
      </c>
      <c r="H25" s="101">
        <f t="shared" si="14"/>
        <v>3996.3560000000002</v>
      </c>
      <c r="I25" s="1"/>
      <c r="S25" s="65"/>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2:45" ht="27.75" customHeight="1" thickBot="1" x14ac:dyDescent="0.3">
      <c r="B26" s="98" t="s">
        <v>6</v>
      </c>
      <c r="C26" s="102">
        <f>SUM(C22:C25)</f>
        <v>388967.68640392303</v>
      </c>
      <c r="D26" s="102">
        <f t="shared" ref="D26:H26" si="15">SUM(D22:D25)</f>
        <v>340473.29490384617</v>
      </c>
      <c r="E26" s="102">
        <f t="shared" si="15"/>
        <v>514242.81277480774</v>
      </c>
      <c r="F26" s="102">
        <f t="shared" si="15"/>
        <v>457799.93152480776</v>
      </c>
      <c r="G26" s="102">
        <f t="shared" si="15"/>
        <v>286971.33593846159</v>
      </c>
      <c r="H26" s="102">
        <f t="shared" si="15"/>
        <v>220410.99037499999</v>
      </c>
      <c r="I26" s="1"/>
      <c r="S26" s="64"/>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row>
    <row r="27" spans="2:45" ht="27.75" customHeight="1" x14ac:dyDescent="0.25">
      <c r="B27" s="91"/>
      <c r="C27" s="93"/>
      <c r="D27" s="92"/>
      <c r="E27" s="92"/>
      <c r="F27" s="92"/>
      <c r="G27" s="92"/>
      <c r="H27" s="92"/>
      <c r="I27" s="1"/>
    </row>
    <row r="28" spans="2:45" ht="21" customHeight="1" x14ac:dyDescent="0.25">
      <c r="B28" s="68" t="s">
        <v>185</v>
      </c>
      <c r="C28" s="68"/>
      <c r="D28" s="68"/>
      <c r="E28" s="68"/>
      <c r="F28" s="68"/>
      <c r="G28" s="68"/>
      <c r="H28" s="68"/>
      <c r="I28" s="1"/>
    </row>
    <row r="29" spans="2:45" ht="21" customHeight="1" x14ac:dyDescent="0.25">
      <c r="B29" s="78" t="s">
        <v>153</v>
      </c>
      <c r="C29" s="68"/>
      <c r="D29" s="68"/>
      <c r="E29" s="68"/>
      <c r="F29" s="68"/>
      <c r="G29" s="68"/>
      <c r="H29" s="68"/>
      <c r="I29" s="1"/>
    </row>
    <row r="30" spans="2:45" x14ac:dyDescent="0.25">
      <c r="C30" s="68"/>
      <c r="D30" s="68"/>
      <c r="E30" s="68"/>
      <c r="F30" s="68"/>
      <c r="G30" s="68"/>
      <c r="H30" s="68"/>
      <c r="I30" s="1"/>
    </row>
    <row r="31" spans="2:45" x14ac:dyDescent="0.25">
      <c r="C31" s="68"/>
      <c r="D31" s="68"/>
      <c r="E31" s="68"/>
      <c r="F31" s="68"/>
      <c r="G31" s="68"/>
      <c r="H31" s="68"/>
      <c r="I31" s="1"/>
    </row>
    <row r="32" spans="2:45" x14ac:dyDescent="0.25">
      <c r="C32" s="68"/>
      <c r="D32" s="68"/>
      <c r="E32" s="68"/>
      <c r="F32" s="68"/>
      <c r="G32" s="68"/>
      <c r="H32" s="68"/>
      <c r="I32" s="1"/>
    </row>
    <row r="33" spans="3:9" x14ac:dyDescent="0.25">
      <c r="C33" s="68"/>
      <c r="D33" s="68"/>
      <c r="E33" s="68"/>
      <c r="F33" s="68"/>
      <c r="G33" s="68"/>
      <c r="H33" s="68"/>
      <c r="I33" s="1"/>
    </row>
    <row r="34" spans="3:9" x14ac:dyDescent="0.25">
      <c r="C34" s="68"/>
      <c r="D34" s="68"/>
      <c r="E34" s="68"/>
      <c r="F34" s="68"/>
      <c r="G34" s="68"/>
      <c r="H34" s="68"/>
      <c r="I34" s="1"/>
    </row>
    <row r="35" spans="3:9" x14ac:dyDescent="0.25">
      <c r="C35" s="68"/>
      <c r="D35" s="68"/>
      <c r="E35" s="68"/>
      <c r="F35" s="68"/>
      <c r="G35" s="68"/>
      <c r="H35" s="68"/>
      <c r="I35" s="1"/>
    </row>
    <row r="36" spans="3:9" x14ac:dyDescent="0.25">
      <c r="C36" s="68"/>
      <c r="D36" s="68"/>
      <c r="E36" s="68"/>
      <c r="F36" s="68"/>
      <c r="G36" s="68"/>
      <c r="H36" s="68"/>
      <c r="I36" s="1"/>
    </row>
    <row r="37" spans="3:9" x14ac:dyDescent="0.25">
      <c r="C37" s="68"/>
      <c r="D37" s="68"/>
      <c r="E37" s="68"/>
      <c r="F37" s="68"/>
      <c r="G37" s="68"/>
      <c r="H37" s="68"/>
      <c r="I37" s="1"/>
    </row>
    <row r="38" spans="3:9" x14ac:dyDescent="0.25">
      <c r="C38" s="68"/>
      <c r="D38" s="68"/>
      <c r="E38" s="68"/>
      <c r="F38" s="68"/>
      <c r="G38" s="68"/>
      <c r="H38" s="68"/>
      <c r="I38" s="1"/>
    </row>
    <row r="39" spans="3:9" x14ac:dyDescent="0.25">
      <c r="C39" s="68"/>
      <c r="D39" s="68"/>
      <c r="E39" s="68"/>
      <c r="F39" s="68"/>
      <c r="G39" s="68"/>
      <c r="H39" s="68"/>
      <c r="I39" s="1"/>
    </row>
    <row r="40" spans="3:9" x14ac:dyDescent="0.25">
      <c r="C40" s="68"/>
      <c r="D40" s="68"/>
      <c r="E40" s="68"/>
      <c r="F40" s="68"/>
      <c r="G40" s="68"/>
      <c r="H40" s="68"/>
      <c r="I40" s="1"/>
    </row>
    <row r="41" spans="3:9" x14ac:dyDescent="0.25">
      <c r="C41" s="68"/>
      <c r="D41" s="68"/>
      <c r="E41" s="68"/>
      <c r="F41" s="68"/>
      <c r="G41" s="68"/>
      <c r="H41" s="68"/>
      <c r="I41" s="1"/>
    </row>
    <row r="42" spans="3:9" x14ac:dyDescent="0.25">
      <c r="I42" s="1"/>
    </row>
    <row r="43" spans="3:9" x14ac:dyDescent="0.25">
      <c r="I43" s="1"/>
    </row>
    <row r="44" spans="3:9" x14ac:dyDescent="0.25">
      <c r="I44" s="1"/>
    </row>
    <row r="45" spans="3:9" x14ac:dyDescent="0.25">
      <c r="I45" s="1"/>
    </row>
    <row r="46" spans="3:9" x14ac:dyDescent="0.25">
      <c r="I46" s="1"/>
    </row>
    <row r="47" spans="3:9" x14ac:dyDescent="0.25">
      <c r="I47" s="1"/>
    </row>
    <row r="48" spans="3:9" x14ac:dyDescent="0.25">
      <c r="I48" s="1"/>
    </row>
  </sheetData>
  <sheetProtection algorithmName="SHA-512" hashValue="Y7A8aMqlgz89odmidr56MlpXcxGzhsAjXg+HFdZHaBMQIlMpotMjQZ0rHS6rzU//vHxPu5wjyxZH6+dUjQIfZg==" saltValue="vrlwWkcgmk1QACAPV9P3oQ==" spinCount="100000" sheet="1" objects="1" scenarios="1"/>
  <phoneticPr fontId="4" type="noConversion"/>
  <dataValidations xWindow="394" yWindow="471" count="6">
    <dataValidation type="list" allowBlank="1" showInputMessage="1" showErrorMessage="1" promptTitle="Options" prompt="0 = Not eligible_x000a__x000a_1 = Cairns and Hinterland and Townsville HHS_x000a__x000a_2 = Palm Island, Central West, Central Queenslans, Wide Bay or South West HHS_x000a__x000a_3 = North West and Toeers and Cape HHS" sqref="C5" xr:uid="{9B25FB3F-F971-409B-A866-6DD1DCDBE12E}">
      <formula1>"0,1,2,3"</formula1>
    </dataValidation>
    <dataValidation type="list" allowBlank="1" showInputMessage="1" showErrorMessage="1" promptTitle="Inaccessibility" prompt="Refer MOCA6 Clause 8.1.1.  _x000a__x000a_Examples:_x000a_Cat 1 - Torres Islands, Cape York_x000a_Cat 2 - Blackall, Quilpie, Weipa_x000a_Cat 3 - Dysart, Mt Isa, Taroom_x000a_Cat 4 - Eidsvold, Miles, Theodore_x000a_Cat 5 - Chinchilla, Mareeba, Roma_x000a_Cat 6 - Atherton, Yeppoon_x000a_Cat 7 - Boonah, Melaney_x000a_" sqref="C6" xr:uid="{03F62501-30DC-4EBA-9028-7486A15BA6EC}">
      <formula1>"Cat 1, Cat 2, Cat 3, Cat 4, Cat 5, Cat 6, Cat 7, NA"</formula1>
    </dataValidation>
    <dataValidation type="list" allowBlank="1" showInputMessage="1" showErrorMessage="1" sqref="C9:H9" xr:uid="{CE0436DC-9F25-4DB4-A184-716118E2EF7F}">
      <formula1>$T$9:$AS$9</formula1>
    </dataValidation>
    <dataValidation type="list" allowBlank="1" showInputMessage="1" showErrorMessage="1" sqref="C8:H8" xr:uid="{CDAF795F-D7AB-4123-A441-9DBED7B6B37D}">
      <formula1>"MPPP, PHO, REG, SMO"</formula1>
    </dataValidation>
    <dataValidation type="list" allowBlank="1" showInputMessage="1" showErrorMessage="1" sqref="C10" xr:uid="{E8DA1D45-5D0F-40AC-BD1A-3CFA4DC94882}">
      <formula1>"Assigned,Retained,N/A"</formula1>
    </dataValidation>
    <dataValidation type="list" allowBlank="1" showInputMessage="1" showErrorMessage="1" promptTitle="Options" prompt="0 = Not eligible_x000a__x000a_1 = Cairns &amp; Hinterland and Townsville HHS_x000a__x000a_2 = Palm Island, Central West, Central Queensland, Wide Bay or South West HHS_x000a__x000a_3 = North West and Torres &amp; Cape HHS" sqref="C4" xr:uid="{76C7BEAB-B6FD-4552-B043-40405868205E}">
      <formula1>"0,1,2,3"</formula1>
    </dataValidation>
  </dataValidations>
  <hyperlinks>
    <hyperlink ref="B29" r:id="rId1" xr:uid="{8902EECB-6F7B-4586-B142-DD7813A79256}"/>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904D-92E5-4F10-8909-D3EC2E8F2365}">
  <dimension ref="B1:H29"/>
  <sheetViews>
    <sheetView workbookViewId="0">
      <selection activeCell="B24" sqref="B24"/>
    </sheetView>
  </sheetViews>
  <sheetFormatPr defaultRowHeight="15" x14ac:dyDescent="0.25"/>
  <cols>
    <col min="1" max="1" width="5.42578125" style="1" customWidth="1"/>
    <col min="2" max="2" width="32.140625" style="1" customWidth="1"/>
    <col min="3" max="15" width="16.85546875" style="1" customWidth="1"/>
    <col min="16" max="16384" width="9.140625" style="1"/>
  </cols>
  <sheetData>
    <row r="1" spans="2:8" x14ac:dyDescent="0.25">
      <c r="B1" s="68"/>
      <c r="C1" s="68"/>
      <c r="D1" s="68"/>
      <c r="E1" s="68"/>
      <c r="F1" s="68"/>
      <c r="G1" s="68"/>
      <c r="H1" s="68"/>
    </row>
    <row r="2" spans="2:8" ht="26.25" x14ac:dyDescent="0.4">
      <c r="B2" s="70" t="s">
        <v>103</v>
      </c>
      <c r="C2" s="70"/>
      <c r="D2" s="68"/>
      <c r="E2" s="68"/>
      <c r="F2" s="68"/>
      <c r="G2" s="68"/>
      <c r="H2" s="68"/>
    </row>
    <row r="3" spans="2:8" x14ac:dyDescent="0.25">
      <c r="B3" s="68"/>
      <c r="C3" s="68"/>
      <c r="D3" s="68"/>
      <c r="E3" s="68"/>
      <c r="F3" s="68"/>
      <c r="G3" s="68"/>
      <c r="H3" s="68"/>
    </row>
    <row r="4" spans="2:8" ht="15.75" thickBot="1" x14ac:dyDescent="0.3">
      <c r="B4" s="68"/>
      <c r="C4" s="68"/>
      <c r="D4" s="68"/>
      <c r="E4" s="68"/>
      <c r="F4" s="68"/>
      <c r="G4" s="68"/>
      <c r="H4" s="68"/>
    </row>
    <row r="5" spans="2:8" ht="27.75" customHeight="1" thickBot="1" x14ac:dyDescent="0.3">
      <c r="B5" s="73" t="s">
        <v>95</v>
      </c>
      <c r="C5" s="80" t="s">
        <v>118</v>
      </c>
      <c r="D5" s="80" t="s">
        <v>97</v>
      </c>
      <c r="E5" s="80" t="s">
        <v>98</v>
      </c>
      <c r="F5" s="80" t="s">
        <v>99</v>
      </c>
      <c r="G5" s="80" t="s">
        <v>100</v>
      </c>
      <c r="H5" s="68"/>
    </row>
    <row r="6" spans="2:8" ht="27.75" customHeight="1" thickBot="1" x14ac:dyDescent="0.3">
      <c r="B6" s="74" t="s">
        <v>96</v>
      </c>
      <c r="C6" s="81" t="s">
        <v>119</v>
      </c>
      <c r="D6" s="81" t="s">
        <v>115</v>
      </c>
      <c r="E6" s="81" t="s">
        <v>127</v>
      </c>
      <c r="F6" s="81" t="s">
        <v>126</v>
      </c>
      <c r="G6" s="81" t="s">
        <v>221</v>
      </c>
      <c r="H6" s="68"/>
    </row>
    <row r="7" spans="2:8" ht="27.75" customHeight="1" thickBot="1" x14ac:dyDescent="0.3">
      <c r="B7" s="74" t="s">
        <v>116</v>
      </c>
      <c r="C7" s="82">
        <v>2</v>
      </c>
      <c r="D7" s="82">
        <v>4</v>
      </c>
      <c r="E7" s="82">
        <v>3</v>
      </c>
      <c r="F7" s="82">
        <v>3</v>
      </c>
      <c r="G7" s="82">
        <v>3</v>
      </c>
      <c r="H7" s="68"/>
    </row>
    <row r="8" spans="2:8" ht="27.75" customHeight="1" thickBot="1" x14ac:dyDescent="0.3">
      <c r="B8" s="75" t="s">
        <v>226</v>
      </c>
      <c r="C8" s="76">
        <v>152972</v>
      </c>
      <c r="D8" s="76">
        <v>94430</v>
      </c>
      <c r="E8" s="76">
        <v>73319</v>
      </c>
      <c r="F8" s="76">
        <v>111772</v>
      </c>
      <c r="G8" s="76">
        <v>82633</v>
      </c>
      <c r="H8" s="68"/>
    </row>
    <row r="9" spans="2:8" ht="27.75" customHeight="1" thickBot="1" x14ac:dyDescent="0.3">
      <c r="B9" s="75" t="s">
        <v>121</v>
      </c>
      <c r="C9" s="76">
        <f>+C8*0.175*(4/52)</f>
        <v>2059.2384615384617</v>
      </c>
      <c r="D9" s="76">
        <f t="shared" ref="D9:G9" si="0">+D8*0.175*(4/52)</f>
        <v>1271.1730769230769</v>
      </c>
      <c r="E9" s="76">
        <f t="shared" si="0"/>
        <v>986.98653846153843</v>
      </c>
      <c r="F9" s="76">
        <f t="shared" si="0"/>
        <v>1504.623076923077</v>
      </c>
      <c r="G9" s="76">
        <f t="shared" si="0"/>
        <v>1112.3673076923078</v>
      </c>
      <c r="H9" s="68"/>
    </row>
    <row r="10" spans="2:8" ht="27.75" customHeight="1" thickBot="1" x14ac:dyDescent="0.3">
      <c r="B10" s="75" t="s">
        <v>117</v>
      </c>
      <c r="C10" s="76">
        <v>2894</v>
      </c>
      <c r="D10" s="76">
        <v>2894</v>
      </c>
      <c r="E10" s="76">
        <v>2894</v>
      </c>
      <c r="F10" s="76">
        <v>0</v>
      </c>
      <c r="G10" s="76">
        <v>0</v>
      </c>
      <c r="H10" s="68"/>
    </row>
    <row r="11" spans="2:8" ht="27.75" customHeight="1" thickBot="1" x14ac:dyDescent="0.3">
      <c r="B11" s="75" t="s">
        <v>120</v>
      </c>
      <c r="C11" s="76">
        <v>0</v>
      </c>
      <c r="D11" s="76">
        <v>0</v>
      </c>
      <c r="E11" s="76">
        <v>0</v>
      </c>
      <c r="F11" s="76">
        <v>0</v>
      </c>
      <c r="G11" s="76">
        <v>0</v>
      </c>
      <c r="H11" s="68"/>
    </row>
    <row r="12" spans="2:8" ht="27.75" customHeight="1" thickBot="1" x14ac:dyDescent="0.3">
      <c r="B12" s="75" t="s">
        <v>227</v>
      </c>
      <c r="C12" s="76">
        <v>1766</v>
      </c>
      <c r="D12" s="76">
        <v>1766</v>
      </c>
      <c r="E12" s="76">
        <v>1766</v>
      </c>
      <c r="F12" s="76">
        <v>1766</v>
      </c>
      <c r="G12" s="76">
        <v>1766</v>
      </c>
      <c r="H12" s="68"/>
    </row>
    <row r="13" spans="2:8" ht="27.75" customHeight="1" thickBot="1" x14ac:dyDescent="0.3">
      <c r="B13" s="75" t="s">
        <v>9</v>
      </c>
      <c r="C13" s="76">
        <v>0</v>
      </c>
      <c r="D13" s="76">
        <v>0</v>
      </c>
      <c r="E13" s="76">
        <v>0</v>
      </c>
      <c r="F13" s="76">
        <v>0</v>
      </c>
      <c r="G13" s="76">
        <v>0</v>
      </c>
      <c r="H13" s="68"/>
    </row>
    <row r="14" spans="2:8" ht="27.75" customHeight="1" thickBot="1" x14ac:dyDescent="0.3">
      <c r="B14" s="75" t="s">
        <v>125</v>
      </c>
      <c r="C14" s="76">
        <f>SUM(C8:C9)*0.015</f>
        <v>2325.4685769230769</v>
      </c>
      <c r="D14" s="76">
        <f t="shared" ref="D14:G14" si="1">SUM(D8:D9)*0.015</f>
        <v>1435.5175961538462</v>
      </c>
      <c r="E14" s="76">
        <f t="shared" si="1"/>
        <v>1114.589798076923</v>
      </c>
      <c r="F14" s="76">
        <f t="shared" si="1"/>
        <v>1699.149346153846</v>
      </c>
      <c r="G14" s="76">
        <f t="shared" si="1"/>
        <v>1256.1805096153844</v>
      </c>
      <c r="H14" s="68"/>
    </row>
    <row r="15" spans="2:8" ht="27.75" customHeight="1" thickBot="1" x14ac:dyDescent="0.3">
      <c r="B15" s="75" t="s">
        <v>123</v>
      </c>
      <c r="C15" s="76">
        <f>SUM(C8:C9)*(9/220)</f>
        <v>6342.1870279720279</v>
      </c>
      <c r="D15" s="76">
        <f t="shared" ref="D15:G15" si="2">SUM(D8:D9)*(9/220)</f>
        <v>3915.0479895104895</v>
      </c>
      <c r="E15" s="76">
        <f t="shared" si="2"/>
        <v>3039.7903583916086</v>
      </c>
      <c r="F15" s="76">
        <f t="shared" si="2"/>
        <v>4634.0436713286708</v>
      </c>
      <c r="G15" s="76">
        <f t="shared" si="2"/>
        <v>3425.9468444055942</v>
      </c>
      <c r="H15" s="68"/>
    </row>
    <row r="16" spans="2:8" ht="27.75" customHeight="1" thickBot="1" x14ac:dyDescent="0.3">
      <c r="B16" s="75" t="s">
        <v>124</v>
      </c>
      <c r="C16" s="76">
        <f>+SUM(C8:C9)*0.1275</f>
        <v>19766.482903846154</v>
      </c>
      <c r="D16" s="76">
        <f t="shared" ref="D16:G16" si="3">+SUM(D8:D9)*0.1275</f>
        <v>12201.899567307693</v>
      </c>
      <c r="E16" s="76">
        <f t="shared" si="3"/>
        <v>9474.0132836538469</v>
      </c>
      <c r="F16" s="76">
        <f t="shared" si="3"/>
        <v>14442.769442307692</v>
      </c>
      <c r="G16" s="76">
        <f t="shared" si="3"/>
        <v>10677.534331730769</v>
      </c>
      <c r="H16" s="68"/>
    </row>
    <row r="17" spans="2:8" ht="27.75" customHeight="1" thickBot="1" x14ac:dyDescent="0.3">
      <c r="B17" s="74" t="s">
        <v>122</v>
      </c>
      <c r="C17" s="77">
        <f>SUM(C8:C16)</f>
        <v>188125.3769702797</v>
      </c>
      <c r="D17" s="77">
        <f>SUM(D8:D16)</f>
        <v>117913.63822989512</v>
      </c>
      <c r="E17" s="77">
        <f>SUM(E8:E16)</f>
        <v>92594.379978583922</v>
      </c>
      <c r="F17" s="77">
        <f>SUM(F8:F16)</f>
        <v>135818.5855367133</v>
      </c>
      <c r="G17" s="77">
        <f>SUM(G8:G16)</f>
        <v>100871.02899344405</v>
      </c>
      <c r="H17" s="68"/>
    </row>
    <row r="18" spans="2:8" ht="27.75" customHeight="1" thickBot="1" x14ac:dyDescent="0.3">
      <c r="B18" s="75" t="s">
        <v>228</v>
      </c>
      <c r="C18" s="76">
        <f>+C17*(0.0769230769230769)</f>
        <v>14471.182843867669</v>
      </c>
      <c r="D18" s="76">
        <f t="shared" ref="D18:G18" si="4">+D17*(0.0769230769230769)</f>
        <v>9070.2798638380864</v>
      </c>
      <c r="E18" s="76">
        <f t="shared" si="4"/>
        <v>7122.644613737225</v>
      </c>
      <c r="F18" s="76">
        <f t="shared" si="4"/>
        <v>10447.583502824102</v>
      </c>
      <c r="G18" s="76">
        <f t="shared" si="4"/>
        <v>7759.3099225726201</v>
      </c>
      <c r="H18" s="68"/>
    </row>
    <row r="19" spans="2:8" ht="27.75" customHeight="1" thickBot="1" x14ac:dyDescent="0.3">
      <c r="B19" s="75" t="s">
        <v>101</v>
      </c>
      <c r="C19" s="79">
        <v>0</v>
      </c>
      <c r="D19" s="79"/>
      <c r="E19" s="79">
        <v>0</v>
      </c>
      <c r="F19" s="79"/>
      <c r="G19" s="79"/>
      <c r="H19" s="83">
        <f>SUM(C19:G19)</f>
        <v>0</v>
      </c>
    </row>
    <row r="20" spans="2:8" ht="27.75" customHeight="1" thickBot="1" x14ac:dyDescent="0.3">
      <c r="B20" s="75"/>
      <c r="C20" s="76"/>
      <c r="D20" s="76"/>
      <c r="E20" s="76"/>
      <c r="F20" s="76"/>
      <c r="G20" s="76"/>
      <c r="H20" s="83"/>
    </row>
    <row r="21" spans="2:8" ht="27.75" customHeight="1" thickBot="1" x14ac:dyDescent="0.3">
      <c r="B21" s="74" t="s">
        <v>102</v>
      </c>
      <c r="C21" s="77">
        <f>+C19*C17</f>
        <v>0</v>
      </c>
      <c r="D21" s="77">
        <f>+D19*D17</f>
        <v>0</v>
      </c>
      <c r="E21" s="77">
        <f>+E19*E17</f>
        <v>0</v>
      </c>
      <c r="F21" s="77">
        <f>+F19*F17</f>
        <v>0</v>
      </c>
      <c r="G21" s="77">
        <f>+G19*G17</f>
        <v>0</v>
      </c>
      <c r="H21" s="84">
        <f>SUM(C21:G21)</f>
        <v>0</v>
      </c>
    </row>
    <row r="22" spans="2:8" x14ac:dyDescent="0.25">
      <c r="B22" s="68"/>
      <c r="C22" s="68"/>
      <c r="D22" s="68"/>
      <c r="E22" s="68"/>
      <c r="F22" s="68"/>
      <c r="G22" s="68"/>
      <c r="H22" s="68"/>
    </row>
    <row r="23" spans="2:8" x14ac:dyDescent="0.25">
      <c r="B23" s="68"/>
      <c r="C23" s="68"/>
      <c r="D23" s="68"/>
      <c r="E23" s="68"/>
      <c r="F23" s="68"/>
      <c r="G23" s="68"/>
      <c r="H23" s="68"/>
    </row>
    <row r="24" spans="2:8" x14ac:dyDescent="0.25">
      <c r="B24" s="112" t="s">
        <v>234</v>
      </c>
      <c r="C24" s="68"/>
      <c r="D24" s="68"/>
      <c r="E24" s="68"/>
      <c r="F24" s="68"/>
      <c r="G24" s="68"/>
      <c r="H24" s="68"/>
    </row>
    <row r="25" spans="2:8" x14ac:dyDescent="0.25">
      <c r="B25" s="78" t="s">
        <v>225</v>
      </c>
      <c r="C25" s="68"/>
      <c r="D25" s="68"/>
      <c r="E25" s="68"/>
      <c r="F25" s="68"/>
      <c r="G25" s="68"/>
      <c r="H25" s="68"/>
    </row>
    <row r="26" spans="2:8" x14ac:dyDescent="0.25">
      <c r="B26" s="68"/>
      <c r="C26" s="68"/>
      <c r="D26" s="68"/>
      <c r="E26" s="68"/>
      <c r="F26" s="68"/>
      <c r="G26" s="68"/>
      <c r="H26" s="68"/>
    </row>
    <row r="27" spans="2:8" x14ac:dyDescent="0.25">
      <c r="B27" s="68" t="s">
        <v>229</v>
      </c>
      <c r="C27" s="68"/>
      <c r="D27" s="68"/>
      <c r="E27" s="68"/>
      <c r="F27" s="68"/>
      <c r="G27" s="68"/>
      <c r="H27" s="68"/>
    </row>
    <row r="28" spans="2:8" x14ac:dyDescent="0.25">
      <c r="B28" s="78" t="s">
        <v>209</v>
      </c>
      <c r="C28" s="68"/>
      <c r="D28" s="68"/>
      <c r="E28" s="68"/>
      <c r="F28" s="68"/>
      <c r="G28" s="68"/>
      <c r="H28" s="68"/>
    </row>
    <row r="29" spans="2:8" x14ac:dyDescent="0.25">
      <c r="B29" s="68"/>
      <c r="C29" s="68"/>
      <c r="D29" s="68"/>
      <c r="E29" s="68"/>
      <c r="F29" s="68"/>
      <c r="G29" s="68"/>
      <c r="H29" s="68"/>
    </row>
  </sheetData>
  <sheetProtection algorithmName="SHA-512" hashValue="8chgohKUdFkMzi4aNSbfT6xFuBEWlAR+sLipEXqxYHtDfwiEGEJLchPF+MLrNgztIX9iulLErGRh5fHEgMhelw==" saltValue="ODRuZyS0K8O7Kn4hJ1rFrA==" spinCount="100000" sheet="1" objects="1" scenarios="1"/>
  <hyperlinks>
    <hyperlink ref="B25" r:id="rId1" location="2024 " xr:uid="{D60CC34C-7E8E-471D-8F16-8E0599299208}"/>
    <hyperlink ref="B28" r:id="rId2" xr:uid="{8D5B5B85-C627-46AA-BC1D-1DD3CA6F250D}"/>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D83C-6C10-4CA3-AC55-F8CC87CB245A}">
  <dimension ref="A1:X107"/>
  <sheetViews>
    <sheetView workbookViewId="0">
      <selection activeCell="J24" sqref="J24"/>
    </sheetView>
  </sheetViews>
  <sheetFormatPr defaultRowHeight="15" x14ac:dyDescent="0.25"/>
  <cols>
    <col min="1" max="1" width="9.140625" style="1"/>
    <col min="2" max="2" width="31.7109375" customWidth="1"/>
    <col min="3" max="5" width="22.85546875" customWidth="1"/>
    <col min="6" max="10" width="22.7109375" customWidth="1"/>
    <col min="11" max="11" width="9.140625" customWidth="1"/>
  </cols>
  <sheetData>
    <row r="1" spans="2:24" s="1" customFormat="1" x14ac:dyDescent="0.25"/>
    <row r="2" spans="2:24" s="1" customFormat="1" ht="26.25" x14ac:dyDescent="0.4">
      <c r="B2" s="50" t="s">
        <v>219</v>
      </c>
    </row>
    <row r="3" spans="2:24" s="1" customFormat="1" x14ac:dyDescent="0.25"/>
    <row r="4" spans="2:24" s="1" customFormat="1" x14ac:dyDescent="0.25">
      <c r="B4" s="51" t="s">
        <v>140</v>
      </c>
    </row>
    <row r="5" spans="2:24" s="1" customFormat="1" x14ac:dyDescent="0.25">
      <c r="B5" s="52" t="s">
        <v>80</v>
      </c>
    </row>
    <row r="6" spans="2:24" s="1" customFormat="1" ht="15.75" thickBot="1" x14ac:dyDescent="0.3"/>
    <row r="7" spans="2:24" ht="26.25" customHeight="1" thickBot="1" x14ac:dyDescent="0.3">
      <c r="B7" s="42" t="s">
        <v>60</v>
      </c>
      <c r="C7" s="116" t="s">
        <v>67</v>
      </c>
      <c r="D7" s="117"/>
      <c r="E7" s="33" t="s">
        <v>66</v>
      </c>
      <c r="F7" s="33">
        <v>1000</v>
      </c>
      <c r="G7" s="33">
        <v>2000</v>
      </c>
      <c r="H7" s="33">
        <v>3000</v>
      </c>
      <c r="I7" s="33">
        <v>4000</v>
      </c>
      <c r="J7" s="33">
        <v>5000</v>
      </c>
      <c r="K7" s="1"/>
      <c r="L7" s="1"/>
      <c r="M7" s="1"/>
      <c r="N7" s="1"/>
      <c r="O7" s="1"/>
      <c r="P7" s="1"/>
      <c r="Q7" s="1"/>
      <c r="R7" s="1"/>
      <c r="S7" s="1"/>
      <c r="T7" s="1"/>
      <c r="U7" s="1"/>
      <c r="V7" s="1"/>
      <c r="W7" s="1"/>
      <c r="X7" s="1"/>
    </row>
    <row r="8" spans="2:24" ht="51" customHeight="1" thickBot="1" x14ac:dyDescent="0.3">
      <c r="B8" s="43" t="s">
        <v>59</v>
      </c>
      <c r="C8" s="118" t="s">
        <v>232</v>
      </c>
      <c r="D8" s="119"/>
      <c r="E8" s="36">
        <v>375</v>
      </c>
      <c r="F8" s="40">
        <f>+$E8*F7*0.1*0.5</f>
        <v>18750</v>
      </c>
      <c r="G8" s="40">
        <f t="shared" ref="G8:J8" si="0">+$E8*G7*0.1*0.5</f>
        <v>37500</v>
      </c>
      <c r="H8" s="40">
        <f t="shared" si="0"/>
        <v>56250</v>
      </c>
      <c r="I8" s="40">
        <f t="shared" si="0"/>
        <v>75000</v>
      </c>
      <c r="J8" s="40">
        <f t="shared" si="0"/>
        <v>93750</v>
      </c>
      <c r="K8" s="1"/>
      <c r="L8" s="1"/>
      <c r="M8" s="1"/>
      <c r="N8" s="1"/>
      <c r="O8" s="1"/>
      <c r="P8" s="1"/>
      <c r="Q8" s="1"/>
      <c r="R8" s="1"/>
      <c r="S8" s="1"/>
      <c r="T8" s="1"/>
      <c r="U8" s="1"/>
      <c r="V8" s="1"/>
      <c r="W8" s="1"/>
      <c r="X8" s="1"/>
    </row>
    <row r="9" spans="2:24" ht="26.25" customHeight="1" thickBot="1" x14ac:dyDescent="0.3">
      <c r="B9" s="43" t="s">
        <v>61</v>
      </c>
      <c r="C9" s="118" t="s">
        <v>68</v>
      </c>
      <c r="D9" s="119"/>
      <c r="E9" s="38">
        <v>5</v>
      </c>
      <c r="F9" s="40">
        <f>IF($E9*F7&gt;48000,48000,$E9*F7)</f>
        <v>5000</v>
      </c>
      <c r="G9" s="40">
        <f t="shared" ref="G9:J9" si="1">IF($E9*G7&gt;48000,48000,$E9*G7)</f>
        <v>10000</v>
      </c>
      <c r="H9" s="40">
        <f t="shared" si="1"/>
        <v>15000</v>
      </c>
      <c r="I9" s="40">
        <f t="shared" si="1"/>
        <v>20000</v>
      </c>
      <c r="J9" s="40">
        <f t="shared" si="1"/>
        <v>25000</v>
      </c>
      <c r="K9" s="1"/>
      <c r="L9" s="1"/>
      <c r="M9" s="1"/>
      <c r="N9" s="1"/>
      <c r="O9" s="1"/>
      <c r="P9" s="1"/>
      <c r="Q9" s="1"/>
      <c r="R9" s="1"/>
      <c r="S9" s="1"/>
      <c r="T9" s="1"/>
      <c r="U9" s="1"/>
      <c r="V9" s="1"/>
      <c r="W9" s="1"/>
      <c r="X9" s="1"/>
    </row>
    <row r="10" spans="2:24" ht="26.25" customHeight="1" thickBot="1" x14ac:dyDescent="0.3">
      <c r="B10" s="43" t="s">
        <v>62</v>
      </c>
      <c r="C10" s="120"/>
      <c r="D10" s="121"/>
      <c r="E10" s="39"/>
      <c r="F10" s="40"/>
      <c r="G10" s="40"/>
      <c r="H10" s="40"/>
      <c r="I10" s="40"/>
      <c r="J10" s="40"/>
      <c r="K10" s="1"/>
      <c r="L10" s="1"/>
      <c r="M10" s="1"/>
      <c r="N10" s="1"/>
      <c r="O10" s="1"/>
      <c r="P10" s="1"/>
      <c r="Q10" s="1"/>
      <c r="R10" s="1"/>
      <c r="S10" s="1"/>
      <c r="T10" s="1"/>
      <c r="U10" s="1"/>
      <c r="V10" s="1"/>
      <c r="W10" s="1"/>
      <c r="X10" s="1"/>
    </row>
    <row r="11" spans="2:24" ht="26.25" customHeight="1" thickBot="1" x14ac:dyDescent="0.3">
      <c r="B11" s="43" t="s">
        <v>63</v>
      </c>
      <c r="C11" s="120" t="s">
        <v>69</v>
      </c>
      <c r="D11" s="121"/>
      <c r="E11" s="39"/>
      <c r="F11" s="40"/>
      <c r="G11" s="40"/>
      <c r="H11" s="40"/>
      <c r="I11" s="40"/>
      <c r="J11" s="40"/>
      <c r="K11" s="1"/>
      <c r="L11" s="1"/>
      <c r="M11" s="1"/>
      <c r="N11" s="1"/>
      <c r="O11" s="1"/>
      <c r="P11" s="1"/>
      <c r="Q11" s="1"/>
      <c r="R11" s="1"/>
      <c r="S11" s="1"/>
      <c r="T11" s="1"/>
      <c r="U11" s="1"/>
      <c r="V11" s="1"/>
      <c r="W11" s="1"/>
      <c r="X11" s="1"/>
    </row>
    <row r="12" spans="2:24" ht="26.25" customHeight="1" thickBot="1" x14ac:dyDescent="0.3">
      <c r="B12" s="43" t="s">
        <v>64</v>
      </c>
      <c r="C12" s="118" t="s">
        <v>70</v>
      </c>
      <c r="D12" s="119"/>
      <c r="E12" s="38">
        <v>6.5</v>
      </c>
      <c r="F12" s="40">
        <f>IF($E12*F7&gt;50000,50000,$E12*F7)</f>
        <v>6500</v>
      </c>
      <c r="G12" s="40">
        <f>IF($E12*G7&gt;50000,50000,$E12*G7)</f>
        <v>13000</v>
      </c>
      <c r="H12" s="40">
        <f>IF($E12*H7&gt;50000,50000,$E12*H7)</f>
        <v>19500</v>
      </c>
      <c r="I12" s="40">
        <f>IF($E12*I7&gt;50000,50000,$E12*I7)</f>
        <v>26000</v>
      </c>
      <c r="J12" s="40">
        <f>IF($E12*J7&gt;50000,50000,$E12*J7)</f>
        <v>32500</v>
      </c>
      <c r="K12" s="1"/>
      <c r="L12" s="1"/>
      <c r="M12" s="1"/>
      <c r="N12" s="1"/>
      <c r="O12" s="1"/>
      <c r="P12" s="1"/>
      <c r="Q12" s="1"/>
      <c r="R12" s="1"/>
      <c r="S12" s="1"/>
      <c r="T12" s="1"/>
      <c r="U12" s="1"/>
      <c r="V12" s="1"/>
      <c r="W12" s="1"/>
      <c r="X12" s="1"/>
    </row>
    <row r="13" spans="2:24" ht="26.25" customHeight="1" thickBot="1" x14ac:dyDescent="0.3">
      <c r="B13" s="43" t="s">
        <v>65</v>
      </c>
      <c r="C13" s="120" t="s">
        <v>79</v>
      </c>
      <c r="D13" s="121"/>
      <c r="E13" s="39"/>
      <c r="F13" s="40"/>
      <c r="G13" s="40"/>
      <c r="H13" s="40"/>
      <c r="I13" s="40"/>
      <c r="J13" s="40"/>
      <c r="K13" s="1"/>
      <c r="L13" s="1"/>
      <c r="M13" s="1"/>
      <c r="N13" s="1"/>
      <c r="O13" s="1"/>
      <c r="P13" s="1"/>
      <c r="Q13" s="1"/>
      <c r="R13" s="1"/>
      <c r="S13" s="1"/>
      <c r="T13" s="1"/>
      <c r="U13" s="1"/>
      <c r="V13" s="1"/>
      <c r="W13" s="1"/>
      <c r="X13" s="1"/>
    </row>
    <row r="14" spans="2:24" ht="26.25" customHeight="1" thickBot="1" x14ac:dyDescent="0.3">
      <c r="B14" s="43" t="s">
        <v>71</v>
      </c>
      <c r="C14" s="120" t="s">
        <v>72</v>
      </c>
      <c r="D14" s="121"/>
      <c r="E14" s="39"/>
      <c r="F14" s="40"/>
      <c r="G14" s="40"/>
      <c r="H14" s="40"/>
      <c r="I14" s="40"/>
      <c r="J14" s="40"/>
      <c r="K14" s="1"/>
      <c r="L14" s="1"/>
      <c r="M14" s="1"/>
      <c r="N14" s="1"/>
      <c r="O14" s="1"/>
      <c r="P14" s="1"/>
      <c r="Q14" s="1"/>
      <c r="R14" s="1"/>
      <c r="S14" s="1"/>
      <c r="T14" s="1"/>
      <c r="U14" s="1"/>
      <c r="V14" s="1"/>
      <c r="W14" s="1"/>
      <c r="X14" s="1"/>
    </row>
    <row r="15" spans="2:24" ht="26.25" customHeight="1" thickBot="1" x14ac:dyDescent="0.3">
      <c r="B15" s="43"/>
      <c r="C15" s="118"/>
      <c r="D15" s="119"/>
      <c r="E15" s="38"/>
      <c r="F15" s="41">
        <f>SUM(F8:F14)</f>
        <v>30250</v>
      </c>
      <c r="G15" s="41">
        <f>SUM(G8:G14)</f>
        <v>60500</v>
      </c>
      <c r="H15" s="41">
        <f>SUM(H8:H14)</f>
        <v>90750</v>
      </c>
      <c r="I15" s="41">
        <f>SUM(I8:I14)</f>
        <v>121000</v>
      </c>
      <c r="J15" s="41">
        <f>SUM(J8:J14)</f>
        <v>151250</v>
      </c>
      <c r="K15" s="1"/>
      <c r="L15" s="1"/>
      <c r="M15" s="1"/>
      <c r="N15" s="1"/>
      <c r="O15" s="1"/>
      <c r="P15" s="1"/>
      <c r="Q15" s="1"/>
      <c r="R15" s="1"/>
      <c r="S15" s="1"/>
      <c r="T15" s="1"/>
      <c r="U15" s="1"/>
      <c r="V15" s="1"/>
      <c r="W15" s="1"/>
      <c r="X15" s="1"/>
    </row>
    <row r="16" spans="2:24" ht="26.25" customHeight="1" thickBot="1" x14ac:dyDescent="0.3">
      <c r="B16" s="43"/>
      <c r="C16" s="118"/>
      <c r="D16" s="119"/>
      <c r="E16" s="57" t="s">
        <v>156</v>
      </c>
      <c r="F16" s="58">
        <f>+F15/F7</f>
        <v>30.25</v>
      </c>
      <c r="G16" s="58">
        <f>+G15/G7</f>
        <v>30.25</v>
      </c>
      <c r="H16" s="58">
        <f>+H15/H7</f>
        <v>30.25</v>
      </c>
      <c r="I16" s="58">
        <f>+I15/I7</f>
        <v>30.25</v>
      </c>
      <c r="J16" s="58">
        <f>+J15/J7</f>
        <v>30.25</v>
      </c>
      <c r="K16" s="1"/>
      <c r="L16" s="1"/>
      <c r="M16" s="1"/>
      <c r="N16" s="1"/>
      <c r="O16" s="1"/>
      <c r="P16" s="1"/>
      <c r="Q16" s="1"/>
      <c r="R16" s="1"/>
      <c r="S16" s="1"/>
      <c r="T16" s="1"/>
      <c r="U16" s="1"/>
      <c r="V16" s="1"/>
      <c r="W16" s="1"/>
      <c r="X16" s="1"/>
    </row>
    <row r="17" spans="2:24" ht="26.25" customHeight="1" x14ac:dyDescent="0.25">
      <c r="B17" s="1"/>
      <c r="C17" s="1"/>
      <c r="D17" s="1"/>
      <c r="E17" s="1"/>
      <c r="F17" s="1"/>
      <c r="G17" s="1"/>
      <c r="H17" s="1"/>
      <c r="I17" s="1"/>
      <c r="J17" s="1"/>
      <c r="K17" s="1"/>
      <c r="L17" s="1"/>
      <c r="M17" s="1"/>
      <c r="N17" s="1"/>
      <c r="O17" s="1"/>
      <c r="P17" s="1"/>
      <c r="Q17" s="1"/>
      <c r="R17" s="1"/>
      <c r="S17" s="1"/>
      <c r="T17" s="1"/>
      <c r="U17" s="1"/>
      <c r="V17" s="1"/>
      <c r="W17" s="1"/>
      <c r="X17" s="1"/>
    </row>
    <row r="18" spans="2:24" s="1" customFormat="1" x14ac:dyDescent="0.25"/>
    <row r="19" spans="2:24" s="1" customFormat="1" x14ac:dyDescent="0.25">
      <c r="B19" s="51" t="s">
        <v>141</v>
      </c>
    </row>
    <row r="20" spans="2:24" s="1" customFormat="1" ht="15.75" thickBot="1" x14ac:dyDescent="0.3"/>
    <row r="21" spans="2:24" ht="15.75" thickBot="1" x14ac:dyDescent="0.3">
      <c r="B21" s="33" t="s">
        <v>78</v>
      </c>
      <c r="C21" s="32" t="s">
        <v>218</v>
      </c>
      <c r="D21" s="33" t="s">
        <v>51</v>
      </c>
      <c r="E21" s="1"/>
      <c r="F21" s="1"/>
      <c r="G21" s="1"/>
      <c r="H21" s="1"/>
      <c r="I21" s="1"/>
      <c r="J21" s="1"/>
      <c r="K21" s="1"/>
      <c r="L21" s="1"/>
      <c r="M21" s="1"/>
      <c r="N21" s="1"/>
      <c r="O21" s="1"/>
      <c r="P21" s="1"/>
      <c r="Q21" s="1"/>
      <c r="R21" s="1"/>
      <c r="S21" s="1"/>
      <c r="T21" s="1"/>
      <c r="U21" s="1"/>
      <c r="V21" s="1"/>
      <c r="W21" s="1"/>
      <c r="X21" s="1"/>
    </row>
    <row r="22" spans="2:24" ht="15.75" thickBot="1" x14ac:dyDescent="0.3">
      <c r="B22" s="34" t="s">
        <v>81</v>
      </c>
      <c r="C22" s="34" t="s">
        <v>83</v>
      </c>
      <c r="D22" s="37">
        <v>0</v>
      </c>
      <c r="E22" s="1"/>
      <c r="F22" s="1"/>
      <c r="G22" s="1"/>
      <c r="H22" s="1"/>
      <c r="I22" s="1"/>
      <c r="J22" s="1"/>
      <c r="K22" s="1"/>
      <c r="L22" s="1"/>
      <c r="M22" s="1"/>
      <c r="N22" s="1"/>
      <c r="O22" s="1"/>
      <c r="P22" s="1"/>
      <c r="Q22" s="1"/>
      <c r="R22" s="1"/>
      <c r="S22" s="1"/>
      <c r="T22" s="1"/>
      <c r="U22" s="1"/>
      <c r="V22" s="1"/>
      <c r="W22" s="1"/>
      <c r="X22" s="1"/>
    </row>
    <row r="23" spans="2:24" ht="15.75" thickBot="1" x14ac:dyDescent="0.3">
      <c r="B23" s="34" t="s">
        <v>82</v>
      </c>
      <c r="C23" s="34" t="s">
        <v>84</v>
      </c>
      <c r="D23" s="37">
        <v>0</v>
      </c>
      <c r="E23" s="1"/>
      <c r="F23" s="1"/>
      <c r="G23" s="1"/>
      <c r="H23" s="1"/>
      <c r="I23" s="1"/>
      <c r="J23" s="1"/>
      <c r="K23" s="1"/>
      <c r="L23" s="1"/>
      <c r="M23" s="1"/>
      <c r="N23" s="1"/>
      <c r="O23" s="1"/>
      <c r="P23" s="1"/>
      <c r="Q23" s="1"/>
      <c r="R23" s="1"/>
      <c r="S23" s="1"/>
      <c r="T23" s="1"/>
      <c r="U23" s="1"/>
      <c r="V23" s="1"/>
      <c r="W23" s="1"/>
      <c r="X23" s="1"/>
    </row>
    <row r="24" spans="2:24" ht="15.75" thickBot="1" x14ac:dyDescent="0.3">
      <c r="B24" s="34" t="s">
        <v>52</v>
      </c>
      <c r="C24" s="34" t="s">
        <v>73</v>
      </c>
      <c r="D24" s="37">
        <v>0.15</v>
      </c>
      <c r="E24" s="1"/>
      <c r="F24" s="1"/>
      <c r="G24" s="1"/>
      <c r="H24" s="1"/>
      <c r="I24" s="1"/>
      <c r="J24" s="1"/>
      <c r="K24" s="1"/>
      <c r="L24" s="1"/>
      <c r="M24" s="1"/>
      <c r="N24" s="1"/>
      <c r="O24" s="1"/>
      <c r="P24" s="1"/>
      <c r="Q24" s="1"/>
      <c r="R24" s="1"/>
      <c r="S24" s="1"/>
      <c r="T24" s="1"/>
      <c r="U24" s="1"/>
      <c r="V24" s="1"/>
      <c r="W24" s="1"/>
      <c r="X24" s="1"/>
    </row>
    <row r="25" spans="2:24" ht="15.75" thickBot="1" x14ac:dyDescent="0.3">
      <c r="B25" s="34" t="s">
        <v>53</v>
      </c>
      <c r="C25" s="34" t="s">
        <v>74</v>
      </c>
      <c r="D25" s="37">
        <v>0.2</v>
      </c>
      <c r="E25" s="1"/>
      <c r="F25" s="1"/>
      <c r="G25" s="1"/>
      <c r="H25" s="1"/>
      <c r="I25" s="1"/>
      <c r="J25" s="1"/>
      <c r="K25" s="1"/>
      <c r="L25" s="1"/>
      <c r="M25" s="1"/>
      <c r="N25" s="1"/>
      <c r="O25" s="1"/>
      <c r="P25" s="1"/>
      <c r="Q25" s="1"/>
      <c r="R25" s="1"/>
      <c r="S25" s="1"/>
      <c r="T25" s="1"/>
      <c r="U25" s="1"/>
      <c r="V25" s="1"/>
      <c r="W25" s="1"/>
      <c r="X25" s="1"/>
    </row>
    <row r="26" spans="2:24" ht="15.75" thickBot="1" x14ac:dyDescent="0.3">
      <c r="B26" s="34" t="s">
        <v>54</v>
      </c>
      <c r="C26" s="34" t="s">
        <v>76</v>
      </c>
      <c r="D26" s="37">
        <v>0.25</v>
      </c>
      <c r="E26" s="1"/>
      <c r="F26" s="1"/>
      <c r="G26" s="1"/>
      <c r="H26" s="1"/>
      <c r="I26" s="1"/>
      <c r="J26" s="1"/>
      <c r="K26" s="1"/>
      <c r="L26" s="1"/>
      <c r="M26" s="1"/>
      <c r="N26" s="1"/>
      <c r="O26" s="1"/>
      <c r="P26" s="1"/>
      <c r="Q26" s="1"/>
      <c r="R26" s="1"/>
      <c r="S26" s="1"/>
      <c r="T26" s="1"/>
      <c r="U26" s="1"/>
      <c r="V26" s="1"/>
      <c r="W26" s="1"/>
      <c r="X26" s="1"/>
    </row>
    <row r="27" spans="2:24" ht="15.75" thickBot="1" x14ac:dyDescent="0.3">
      <c r="B27" s="34" t="s">
        <v>55</v>
      </c>
      <c r="C27" s="34" t="s">
        <v>75</v>
      </c>
      <c r="D27" s="37">
        <v>0.4</v>
      </c>
      <c r="E27" s="1"/>
      <c r="F27" s="1"/>
      <c r="G27" s="1"/>
      <c r="H27" s="1"/>
      <c r="I27" s="1"/>
      <c r="J27" s="1"/>
      <c r="K27" s="1"/>
      <c r="L27" s="1"/>
      <c r="M27" s="1"/>
      <c r="N27" s="1"/>
      <c r="O27" s="1"/>
      <c r="P27" s="1"/>
      <c r="Q27" s="1"/>
      <c r="R27" s="1"/>
      <c r="S27" s="1"/>
      <c r="T27" s="1"/>
      <c r="U27" s="1"/>
      <c r="V27" s="1"/>
      <c r="W27" s="1"/>
      <c r="X27" s="1"/>
    </row>
    <row r="28" spans="2:24" ht="15.75" thickBot="1" x14ac:dyDescent="0.3">
      <c r="B28" s="34" t="s">
        <v>56</v>
      </c>
      <c r="C28" s="34" t="s">
        <v>77</v>
      </c>
      <c r="D28" s="37">
        <v>0.5</v>
      </c>
      <c r="E28" s="1"/>
      <c r="F28" s="1"/>
      <c r="G28" s="1"/>
      <c r="H28" s="1"/>
      <c r="I28" s="1"/>
      <c r="J28" s="1"/>
      <c r="K28" s="1"/>
      <c r="L28" s="1"/>
      <c r="M28" s="1"/>
      <c r="N28" s="1"/>
      <c r="O28" s="1"/>
      <c r="P28" s="1"/>
      <c r="Q28" s="1"/>
      <c r="R28" s="1"/>
      <c r="S28" s="1"/>
      <c r="T28" s="1"/>
      <c r="U28" s="1"/>
      <c r="V28" s="1"/>
      <c r="W28" s="1"/>
      <c r="X28" s="1"/>
    </row>
    <row r="29" spans="2:24" s="1" customFormat="1" x14ac:dyDescent="0.25"/>
    <row r="30" spans="2:24" s="1" customFormat="1" x14ac:dyDescent="0.25"/>
    <row r="31" spans="2:24" s="1" customFormat="1" x14ac:dyDescent="0.25"/>
    <row r="32" spans="2:24" s="1" customFormat="1" x14ac:dyDescent="0.25"/>
    <row r="33" spans="2:24" s="1" customFormat="1" x14ac:dyDescent="0.25"/>
    <row r="34" spans="2:24" s="1" customFormat="1" x14ac:dyDescent="0.25"/>
    <row r="35" spans="2:24" s="1" customFormat="1" x14ac:dyDescent="0.25"/>
    <row r="36" spans="2:24" s="1" customFormat="1" x14ac:dyDescent="0.25"/>
    <row r="37" spans="2:24" s="1" customFormat="1" x14ac:dyDescent="0.25"/>
    <row r="38" spans="2:24" s="1" customFormat="1" x14ac:dyDescent="0.25">
      <c r="B38" s="51" t="s">
        <v>142</v>
      </c>
    </row>
    <row r="39" spans="2:24" s="1" customFormat="1" x14ac:dyDescent="0.25">
      <c r="B39" s="52" t="s">
        <v>57</v>
      </c>
    </row>
    <row r="40" spans="2:24" s="1" customFormat="1" ht="15.75" thickBot="1" x14ac:dyDescent="0.3"/>
    <row r="41" spans="2:24" ht="48.75" customHeight="1" thickBot="1" x14ac:dyDescent="0.3">
      <c r="B41" s="32" t="s">
        <v>41</v>
      </c>
      <c r="C41" s="33" t="s">
        <v>42</v>
      </c>
      <c r="D41" s="33" t="s">
        <v>43</v>
      </c>
      <c r="E41" s="33" t="s">
        <v>44</v>
      </c>
      <c r="F41" s="59" t="s">
        <v>161</v>
      </c>
      <c r="G41" s="1"/>
      <c r="H41" s="1"/>
      <c r="I41" s="1"/>
      <c r="J41" s="1"/>
      <c r="K41" s="1"/>
      <c r="L41" s="1"/>
      <c r="M41" s="1"/>
      <c r="N41" s="1"/>
      <c r="O41" s="1"/>
      <c r="P41" s="1"/>
      <c r="Q41" s="1"/>
      <c r="R41" s="1"/>
      <c r="S41" s="1"/>
      <c r="T41" s="1"/>
      <c r="U41" s="1"/>
      <c r="V41" s="1"/>
      <c r="W41" s="1"/>
      <c r="X41" s="1"/>
    </row>
    <row r="42" spans="2:24" ht="26.25" customHeight="1" thickBot="1" x14ac:dyDescent="0.3">
      <c r="B42" s="34">
        <v>1000</v>
      </c>
      <c r="C42" s="35" t="s">
        <v>45</v>
      </c>
      <c r="D42" s="103">
        <v>32500</v>
      </c>
      <c r="E42" s="103">
        <v>16250</v>
      </c>
      <c r="F42" s="107">
        <f>D42/B42</f>
        <v>32.5</v>
      </c>
      <c r="G42" s="1"/>
      <c r="H42" s="1"/>
      <c r="I42" s="1"/>
      <c r="J42" s="1"/>
      <c r="K42" s="1"/>
      <c r="L42" s="1"/>
      <c r="M42" s="1"/>
      <c r="N42" s="1"/>
      <c r="O42" s="1"/>
      <c r="P42" s="1"/>
      <c r="Q42" s="1"/>
      <c r="R42" s="1"/>
      <c r="S42" s="1"/>
      <c r="T42" s="1"/>
      <c r="U42" s="1"/>
      <c r="V42" s="1"/>
      <c r="W42" s="1"/>
      <c r="X42" s="1"/>
    </row>
    <row r="43" spans="2:24" ht="26.25" customHeight="1" thickBot="1" x14ac:dyDescent="0.3">
      <c r="B43" s="34">
        <v>2000</v>
      </c>
      <c r="C43" s="35" t="s">
        <v>46</v>
      </c>
      <c r="D43" s="103">
        <v>65000</v>
      </c>
      <c r="E43" s="103">
        <v>32500</v>
      </c>
      <c r="F43" s="107">
        <f t="shared" ref="F43:F46" si="2">D43/B43</f>
        <v>32.5</v>
      </c>
      <c r="G43" s="1"/>
      <c r="H43" s="1"/>
      <c r="I43" s="1"/>
      <c r="J43" s="1"/>
      <c r="K43" s="1"/>
      <c r="L43" s="1"/>
      <c r="M43" s="1"/>
      <c r="N43" s="1"/>
      <c r="O43" s="1"/>
      <c r="P43" s="1"/>
      <c r="Q43" s="1"/>
      <c r="R43" s="1"/>
      <c r="S43" s="1"/>
      <c r="T43" s="1"/>
      <c r="U43" s="1"/>
      <c r="V43" s="1"/>
      <c r="W43" s="1"/>
      <c r="X43" s="1"/>
    </row>
    <row r="44" spans="2:24" ht="26.25" customHeight="1" thickBot="1" x14ac:dyDescent="0.3">
      <c r="B44" s="34">
        <v>3000</v>
      </c>
      <c r="C44" s="35" t="s">
        <v>47</v>
      </c>
      <c r="D44" s="103">
        <v>97500</v>
      </c>
      <c r="E44" s="103">
        <v>48750</v>
      </c>
      <c r="F44" s="107">
        <f t="shared" si="2"/>
        <v>32.5</v>
      </c>
      <c r="G44" s="1"/>
      <c r="H44" s="1"/>
      <c r="I44" s="1"/>
      <c r="J44" s="1"/>
      <c r="K44" s="1"/>
      <c r="L44" s="1"/>
      <c r="M44" s="1"/>
      <c r="N44" s="1"/>
      <c r="O44" s="1"/>
      <c r="P44" s="1"/>
      <c r="Q44" s="1"/>
      <c r="R44" s="1"/>
      <c r="S44" s="1"/>
      <c r="T44" s="1"/>
      <c r="U44" s="1"/>
      <c r="V44" s="1"/>
      <c r="W44" s="1"/>
      <c r="X44" s="1"/>
    </row>
    <row r="45" spans="2:24" ht="26.25" customHeight="1" thickBot="1" x14ac:dyDescent="0.3">
      <c r="B45" s="34">
        <v>4000</v>
      </c>
      <c r="C45" s="35" t="s">
        <v>48</v>
      </c>
      <c r="D45" s="103">
        <v>130000</v>
      </c>
      <c r="E45" s="103">
        <v>65000</v>
      </c>
      <c r="F45" s="107">
        <f t="shared" si="2"/>
        <v>32.5</v>
      </c>
      <c r="G45" s="1"/>
      <c r="H45" s="1"/>
      <c r="I45" s="1"/>
      <c r="J45" s="1"/>
      <c r="K45" s="1"/>
      <c r="L45" s="1"/>
      <c r="M45" s="1"/>
      <c r="N45" s="1"/>
      <c r="O45" s="1"/>
      <c r="P45" s="1"/>
      <c r="Q45" s="1"/>
      <c r="R45" s="1"/>
      <c r="S45" s="1"/>
      <c r="T45" s="1"/>
      <c r="U45" s="1"/>
      <c r="V45" s="1"/>
      <c r="W45" s="1"/>
      <c r="X45" s="1"/>
    </row>
    <row r="46" spans="2:24" ht="26.25" customHeight="1" thickBot="1" x14ac:dyDescent="0.3">
      <c r="B46" s="34">
        <v>5000</v>
      </c>
      <c r="C46" s="35" t="s">
        <v>49</v>
      </c>
      <c r="D46" s="103">
        <v>130000</v>
      </c>
      <c r="E46" s="103">
        <v>65000</v>
      </c>
      <c r="F46" s="107">
        <f t="shared" si="2"/>
        <v>26</v>
      </c>
      <c r="G46" s="1"/>
      <c r="H46" s="1"/>
      <c r="I46" s="1"/>
      <c r="J46" s="1"/>
      <c r="K46" s="1"/>
      <c r="L46" s="1"/>
      <c r="M46" s="1"/>
      <c r="N46" s="1"/>
      <c r="O46" s="1"/>
      <c r="P46" s="1"/>
      <c r="Q46" s="1"/>
      <c r="R46" s="1"/>
      <c r="S46" s="1"/>
      <c r="T46" s="1"/>
      <c r="U46" s="1"/>
      <c r="V46" s="1"/>
      <c r="W46" s="1"/>
      <c r="X46" s="1"/>
    </row>
    <row r="47" spans="2:24" s="1" customFormat="1" x14ac:dyDescent="0.25"/>
    <row r="48" spans="2:24" s="1" customFormat="1" x14ac:dyDescent="0.25">
      <c r="B48" s="51" t="s">
        <v>143</v>
      </c>
    </row>
    <row r="49" spans="2:24" s="1" customFormat="1" ht="15.75" thickBot="1" x14ac:dyDescent="0.3"/>
    <row r="50" spans="2:24" ht="26.25" customHeight="1" thickBot="1" x14ac:dyDescent="0.3">
      <c r="B50" s="32" t="s">
        <v>50</v>
      </c>
      <c r="C50" s="33" t="s">
        <v>51</v>
      </c>
      <c r="D50" s="1"/>
      <c r="E50" s="1"/>
      <c r="F50" s="1"/>
      <c r="G50" s="1"/>
      <c r="H50" s="1"/>
      <c r="I50" s="1"/>
      <c r="J50" s="1"/>
      <c r="K50" s="1"/>
      <c r="L50" s="1"/>
      <c r="M50" s="1"/>
      <c r="N50" s="1"/>
      <c r="O50" s="1"/>
      <c r="P50" s="1"/>
      <c r="Q50" s="1"/>
      <c r="R50" s="1"/>
      <c r="S50" s="1"/>
      <c r="T50" s="1"/>
      <c r="U50" s="1"/>
      <c r="V50" s="1"/>
      <c r="W50" s="1"/>
      <c r="X50" s="1"/>
    </row>
    <row r="51" spans="2:24" ht="15.75" thickBot="1" x14ac:dyDescent="0.3">
      <c r="B51" s="34" t="s">
        <v>81</v>
      </c>
      <c r="C51" s="37">
        <v>0</v>
      </c>
      <c r="D51" s="1"/>
      <c r="E51" s="1"/>
      <c r="F51" s="1"/>
      <c r="G51" s="1"/>
      <c r="H51" s="1"/>
      <c r="I51" s="1"/>
      <c r="J51" s="1"/>
      <c r="K51" s="1"/>
      <c r="L51" s="1"/>
      <c r="M51" s="1"/>
      <c r="N51" s="1"/>
      <c r="O51" s="1"/>
      <c r="P51" s="1"/>
      <c r="Q51" s="1"/>
      <c r="R51" s="1"/>
      <c r="S51" s="1"/>
      <c r="T51" s="1"/>
      <c r="U51" s="1"/>
      <c r="V51" s="1"/>
      <c r="W51" s="1"/>
      <c r="X51" s="1"/>
    </row>
    <row r="52" spans="2:24" ht="15.75" thickBot="1" x14ac:dyDescent="0.3">
      <c r="B52" s="34" t="s">
        <v>82</v>
      </c>
      <c r="C52" s="104">
        <v>0</v>
      </c>
      <c r="D52" s="1"/>
      <c r="E52" s="1"/>
      <c r="F52" s="1"/>
      <c r="G52" s="1"/>
      <c r="H52" s="1"/>
      <c r="I52" s="1"/>
      <c r="J52" s="1"/>
      <c r="K52" s="1"/>
      <c r="L52" s="1"/>
      <c r="M52" s="1"/>
      <c r="N52" s="1"/>
      <c r="O52" s="1"/>
      <c r="P52" s="1"/>
      <c r="Q52" s="1"/>
      <c r="R52" s="1"/>
      <c r="S52" s="1"/>
      <c r="T52" s="1"/>
      <c r="U52" s="1"/>
      <c r="V52" s="1"/>
      <c r="W52" s="1"/>
      <c r="X52" s="1"/>
    </row>
    <row r="53" spans="2:24" ht="15.75" thickBot="1" x14ac:dyDescent="0.3">
      <c r="B53" s="34" t="s">
        <v>52</v>
      </c>
      <c r="C53" s="104">
        <v>0.3</v>
      </c>
      <c r="D53" s="1"/>
      <c r="E53" s="1"/>
      <c r="F53" s="1"/>
      <c r="G53" s="1"/>
      <c r="H53" s="1"/>
      <c r="I53" s="1"/>
      <c r="J53" s="1"/>
      <c r="K53" s="1"/>
      <c r="L53" s="1"/>
      <c r="M53" s="1"/>
      <c r="N53" s="1"/>
      <c r="O53" s="1"/>
      <c r="P53" s="1"/>
      <c r="Q53" s="1"/>
      <c r="R53" s="1"/>
      <c r="S53" s="1"/>
      <c r="T53" s="1"/>
      <c r="U53" s="1"/>
      <c r="V53" s="1"/>
      <c r="W53" s="1"/>
      <c r="X53" s="1"/>
    </row>
    <row r="54" spans="2:24" ht="15.75" thickBot="1" x14ac:dyDescent="0.3">
      <c r="B54" s="34" t="s">
        <v>53</v>
      </c>
      <c r="C54" s="104">
        <v>0.4</v>
      </c>
      <c r="D54" s="1"/>
      <c r="E54" s="1"/>
      <c r="F54" s="1"/>
      <c r="G54" s="1"/>
      <c r="H54" s="1"/>
      <c r="I54" s="1"/>
      <c r="J54" s="1"/>
      <c r="K54" s="1"/>
      <c r="L54" s="1"/>
      <c r="M54" s="1"/>
      <c r="N54" s="1"/>
      <c r="O54" s="1"/>
      <c r="P54" s="1"/>
      <c r="Q54" s="1"/>
      <c r="R54" s="1"/>
      <c r="S54" s="1"/>
      <c r="T54" s="1"/>
      <c r="U54" s="1"/>
      <c r="V54" s="1"/>
      <c r="W54" s="1"/>
      <c r="X54" s="1"/>
    </row>
    <row r="55" spans="2:24" ht="15.75" thickBot="1" x14ac:dyDescent="0.3">
      <c r="B55" s="34" t="s">
        <v>54</v>
      </c>
      <c r="C55" s="104">
        <v>0.4</v>
      </c>
      <c r="D55" s="1"/>
      <c r="E55" s="1"/>
      <c r="F55" s="1"/>
      <c r="G55" s="1"/>
      <c r="H55" s="1"/>
      <c r="I55" s="1"/>
      <c r="J55" s="1"/>
      <c r="K55" s="1"/>
      <c r="L55" s="1"/>
      <c r="M55" s="1"/>
      <c r="N55" s="1"/>
      <c r="O55" s="1"/>
      <c r="P55" s="1"/>
      <c r="Q55" s="1"/>
      <c r="R55" s="1"/>
      <c r="S55" s="1"/>
      <c r="T55" s="1"/>
      <c r="U55" s="1"/>
      <c r="V55" s="1"/>
      <c r="W55" s="1"/>
      <c r="X55" s="1"/>
    </row>
    <row r="56" spans="2:24" ht="15.75" thickBot="1" x14ac:dyDescent="0.3">
      <c r="B56" s="34" t="s">
        <v>55</v>
      </c>
      <c r="C56" s="104">
        <v>0.6</v>
      </c>
      <c r="D56" s="1"/>
      <c r="E56" s="1"/>
      <c r="F56" s="1"/>
      <c r="G56" s="1"/>
      <c r="H56" s="1"/>
      <c r="I56" s="1"/>
      <c r="J56" s="1"/>
      <c r="K56" s="1"/>
      <c r="L56" s="1"/>
      <c r="M56" s="1"/>
      <c r="N56" s="1"/>
      <c r="O56" s="1"/>
      <c r="P56" s="1"/>
      <c r="Q56" s="1"/>
      <c r="R56" s="1"/>
      <c r="S56" s="1"/>
      <c r="T56" s="1"/>
      <c r="U56" s="1"/>
      <c r="V56" s="1"/>
      <c r="W56" s="1"/>
      <c r="X56" s="1"/>
    </row>
    <row r="57" spans="2:24" ht="15.75" thickBot="1" x14ac:dyDescent="0.3">
      <c r="B57" s="34" t="s">
        <v>56</v>
      </c>
      <c r="C57" s="104">
        <v>0.8</v>
      </c>
      <c r="D57" s="1"/>
      <c r="E57" s="1"/>
      <c r="F57" s="1"/>
      <c r="G57" s="1"/>
      <c r="H57" s="1"/>
      <c r="I57" s="1"/>
      <c r="J57" s="1"/>
      <c r="K57" s="1"/>
      <c r="L57" s="1"/>
      <c r="M57" s="1"/>
      <c r="N57" s="1"/>
      <c r="O57" s="1"/>
      <c r="P57" s="1"/>
      <c r="Q57" s="1"/>
      <c r="R57" s="1"/>
      <c r="S57" s="1"/>
      <c r="T57" s="1"/>
      <c r="U57" s="1"/>
      <c r="V57" s="1"/>
      <c r="W57" s="1"/>
      <c r="X57" s="1"/>
    </row>
    <row r="58" spans="2:24" s="1" customFormat="1" x14ac:dyDescent="0.25"/>
    <row r="59" spans="2:24" s="1" customFormat="1" x14ac:dyDescent="0.25">
      <c r="B59" s="51" t="s">
        <v>144</v>
      </c>
    </row>
    <row r="60" spans="2:24" s="1" customFormat="1" x14ac:dyDescent="0.25">
      <c r="B60" s="52" t="s">
        <v>85</v>
      </c>
    </row>
    <row r="61" spans="2:24" s="1" customFormat="1" ht="15.75" thickBot="1" x14ac:dyDescent="0.3">
      <c r="B61" s="52"/>
    </row>
    <row r="62" spans="2:24" ht="26.25" customHeight="1" thickBot="1" x14ac:dyDescent="0.3">
      <c r="B62" s="32" t="s">
        <v>50</v>
      </c>
      <c r="C62" s="33" t="s">
        <v>86</v>
      </c>
      <c r="D62" s="33" t="s">
        <v>87</v>
      </c>
      <c r="E62" s="33" t="s">
        <v>88</v>
      </c>
      <c r="F62" s="33" t="s">
        <v>89</v>
      </c>
      <c r="G62" s="33" t="s">
        <v>90</v>
      </c>
      <c r="H62" s="1"/>
      <c r="I62" s="1"/>
      <c r="J62" s="1"/>
      <c r="K62" s="1"/>
      <c r="L62" s="1"/>
      <c r="M62" s="1"/>
      <c r="N62" s="1"/>
      <c r="O62" s="1"/>
      <c r="P62" s="1"/>
      <c r="Q62" s="1"/>
      <c r="R62" s="1"/>
      <c r="S62" s="1"/>
      <c r="T62" s="1"/>
      <c r="U62" s="1"/>
      <c r="V62" s="1"/>
      <c r="W62" s="1"/>
      <c r="X62" s="1"/>
    </row>
    <row r="63" spans="2:24" ht="26.25" customHeight="1" thickBot="1" x14ac:dyDescent="0.3">
      <c r="B63" s="34" t="s">
        <v>81</v>
      </c>
      <c r="C63" s="36">
        <v>0</v>
      </c>
      <c r="D63" s="39">
        <v>0</v>
      </c>
      <c r="E63" s="36">
        <v>0</v>
      </c>
      <c r="F63" s="36">
        <v>0</v>
      </c>
      <c r="G63" s="36">
        <v>0</v>
      </c>
      <c r="H63" s="1"/>
      <c r="I63" s="1"/>
      <c r="J63" s="1"/>
      <c r="K63" s="1"/>
      <c r="L63" s="1"/>
      <c r="M63" s="1"/>
      <c r="N63" s="1"/>
      <c r="O63" s="1"/>
      <c r="P63" s="1"/>
      <c r="Q63" s="1"/>
      <c r="R63" s="1"/>
      <c r="S63" s="1"/>
      <c r="T63" s="1"/>
      <c r="U63" s="1"/>
      <c r="V63" s="1"/>
      <c r="W63" s="1"/>
      <c r="X63" s="1"/>
    </row>
    <row r="64" spans="2:24" ht="26.25" customHeight="1" thickBot="1" x14ac:dyDescent="0.3">
      <c r="B64" s="34" t="s">
        <v>82</v>
      </c>
      <c r="C64" s="36">
        <v>0</v>
      </c>
      <c r="D64" s="39">
        <v>0</v>
      </c>
      <c r="E64" s="36">
        <v>0</v>
      </c>
      <c r="F64" s="36">
        <v>0</v>
      </c>
      <c r="G64" s="36">
        <v>0</v>
      </c>
      <c r="H64" s="1"/>
      <c r="I64" s="1"/>
      <c r="J64" s="1"/>
      <c r="K64" s="1"/>
      <c r="L64" s="1"/>
      <c r="M64" s="1"/>
      <c r="N64" s="1"/>
      <c r="O64" s="1"/>
      <c r="P64" s="1"/>
      <c r="Q64" s="1"/>
      <c r="R64" s="1"/>
      <c r="S64" s="1"/>
      <c r="T64" s="1"/>
      <c r="U64" s="1"/>
      <c r="V64" s="1"/>
      <c r="W64" s="1"/>
      <c r="X64" s="1"/>
    </row>
    <row r="65" spans="2:24" ht="26.25" customHeight="1" thickBot="1" x14ac:dyDescent="0.3">
      <c r="B65" s="34" t="s">
        <v>52</v>
      </c>
      <c r="C65" s="36">
        <v>0</v>
      </c>
      <c r="D65" s="39">
        <v>4500</v>
      </c>
      <c r="E65" s="36">
        <v>7500</v>
      </c>
      <c r="F65" s="36">
        <v>7500</v>
      </c>
      <c r="G65" s="36">
        <v>12000</v>
      </c>
      <c r="H65" s="1"/>
      <c r="I65" s="1"/>
      <c r="J65" s="1"/>
      <c r="K65" s="1"/>
      <c r="L65" s="1"/>
      <c r="M65" s="1"/>
      <c r="N65" s="1"/>
      <c r="O65" s="1"/>
      <c r="P65" s="1"/>
      <c r="Q65" s="1"/>
      <c r="R65" s="1"/>
      <c r="S65" s="1"/>
      <c r="T65" s="1"/>
      <c r="U65" s="1"/>
      <c r="V65" s="1"/>
      <c r="W65" s="1"/>
      <c r="X65" s="1"/>
    </row>
    <row r="66" spans="2:24" ht="26.25" customHeight="1" thickBot="1" x14ac:dyDescent="0.3">
      <c r="B66" s="34" t="s">
        <v>53</v>
      </c>
      <c r="C66" s="36">
        <v>0</v>
      </c>
      <c r="D66" s="39">
        <v>8000</v>
      </c>
      <c r="E66" s="36">
        <v>13000</v>
      </c>
      <c r="F66" s="36">
        <v>13000</v>
      </c>
      <c r="G66" s="36">
        <v>18000</v>
      </c>
      <c r="H66" s="1"/>
      <c r="I66" s="1"/>
      <c r="J66" s="1"/>
      <c r="K66" s="1"/>
      <c r="L66" s="1"/>
      <c r="M66" s="1"/>
      <c r="N66" s="1"/>
      <c r="O66" s="1"/>
      <c r="P66" s="1"/>
      <c r="Q66" s="1"/>
      <c r="R66" s="1"/>
      <c r="S66" s="1"/>
      <c r="T66" s="1"/>
      <c r="U66" s="1"/>
      <c r="V66" s="1"/>
      <c r="W66" s="1"/>
      <c r="X66" s="1"/>
    </row>
    <row r="67" spans="2:24" ht="26.25" customHeight="1" thickBot="1" x14ac:dyDescent="0.3">
      <c r="B67" s="34" t="s">
        <v>54</v>
      </c>
      <c r="C67" s="36">
        <v>0</v>
      </c>
      <c r="D67" s="39">
        <v>12000</v>
      </c>
      <c r="E67" s="36">
        <v>17000</v>
      </c>
      <c r="F67" s="36">
        <v>17000</v>
      </c>
      <c r="G67" s="36">
        <v>23000</v>
      </c>
      <c r="H67" s="1"/>
      <c r="I67" s="1"/>
      <c r="J67" s="1"/>
      <c r="K67" s="1"/>
      <c r="L67" s="1"/>
      <c r="M67" s="1"/>
      <c r="N67" s="1"/>
      <c r="O67" s="1"/>
      <c r="P67" s="1"/>
      <c r="Q67" s="1"/>
      <c r="R67" s="1"/>
      <c r="S67" s="1"/>
      <c r="T67" s="1"/>
      <c r="U67" s="1"/>
      <c r="V67" s="1"/>
      <c r="W67" s="1"/>
      <c r="X67" s="1"/>
    </row>
    <row r="68" spans="2:24" ht="26.25" customHeight="1" thickBot="1" x14ac:dyDescent="0.3">
      <c r="B68" s="34" t="s">
        <v>55</v>
      </c>
      <c r="C68" s="36">
        <v>16000</v>
      </c>
      <c r="D68" s="39">
        <v>16000</v>
      </c>
      <c r="E68" s="36">
        <v>25000</v>
      </c>
      <c r="F68" s="36">
        <v>25000</v>
      </c>
      <c r="G68" s="36">
        <v>35000</v>
      </c>
      <c r="H68" s="1"/>
      <c r="I68" s="1"/>
      <c r="J68" s="1"/>
      <c r="K68" s="1"/>
      <c r="L68" s="1"/>
      <c r="M68" s="1"/>
      <c r="N68" s="1"/>
      <c r="O68" s="1"/>
      <c r="P68" s="1"/>
      <c r="Q68" s="1"/>
      <c r="R68" s="1"/>
      <c r="S68" s="1"/>
      <c r="T68" s="1"/>
      <c r="U68" s="1"/>
      <c r="V68" s="1"/>
      <c r="W68" s="1"/>
      <c r="X68" s="1"/>
    </row>
    <row r="69" spans="2:24" ht="26.25" customHeight="1" thickBot="1" x14ac:dyDescent="0.3">
      <c r="B69" s="34" t="s">
        <v>56</v>
      </c>
      <c r="C69" s="36">
        <v>25000</v>
      </c>
      <c r="D69" s="39">
        <v>25000</v>
      </c>
      <c r="E69" s="36">
        <v>35000</v>
      </c>
      <c r="F69" s="36">
        <v>35000</v>
      </c>
      <c r="G69" s="36">
        <v>60000</v>
      </c>
      <c r="H69" s="1"/>
      <c r="I69" s="1"/>
      <c r="J69" s="1"/>
      <c r="K69" s="1"/>
      <c r="L69" s="1"/>
      <c r="M69" s="1"/>
      <c r="N69" s="1"/>
      <c r="O69" s="1"/>
      <c r="P69" s="1"/>
      <c r="Q69" s="1"/>
      <c r="R69" s="1"/>
      <c r="S69" s="1"/>
      <c r="T69" s="1"/>
      <c r="U69" s="1"/>
      <c r="V69" s="1"/>
      <c r="W69" s="1"/>
      <c r="X69" s="1"/>
    </row>
    <row r="70" spans="2:24" s="1" customFormat="1" x14ac:dyDescent="0.25"/>
    <row r="71" spans="2:24" s="1" customFormat="1" x14ac:dyDescent="0.25">
      <c r="B71" s="1" t="s">
        <v>220</v>
      </c>
    </row>
    <row r="72" spans="2:24" s="1" customFormat="1" x14ac:dyDescent="0.25"/>
    <row r="73" spans="2:24" s="1" customFormat="1" x14ac:dyDescent="0.25"/>
    <row r="74" spans="2:24" s="1" customFormat="1" x14ac:dyDescent="0.25"/>
    <row r="75" spans="2:24" s="1" customFormat="1" x14ac:dyDescent="0.25"/>
    <row r="76" spans="2:24" s="1" customFormat="1" x14ac:dyDescent="0.25"/>
    <row r="77" spans="2:24" s="1" customFormat="1" x14ac:dyDescent="0.25"/>
    <row r="78" spans="2:24" s="1" customFormat="1" x14ac:dyDescent="0.25"/>
    <row r="79" spans="2:24" s="1" customFormat="1" x14ac:dyDescent="0.25"/>
    <row r="80" spans="2:24"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sheetData>
  <sheetProtection algorithmName="SHA-512" hashValue="xz9E32mVIZtOaISuLa4Cp3bL+fAoEC83VEAwP2TLl5n1R0nkKNGd++BQFuEK7y+O1TAioqob6qRGvUM5hPCyRA==" saltValue="VXCeqFqw8m9beYzoLwx4lw==" spinCount="100000" sheet="1" objects="1" scenarios="1"/>
  <mergeCells count="10">
    <mergeCell ref="C16:D16"/>
    <mergeCell ref="C12:D12"/>
    <mergeCell ref="C13:D13"/>
    <mergeCell ref="C14:D14"/>
    <mergeCell ref="C15:D15"/>
    <mergeCell ref="C7:D7"/>
    <mergeCell ref="C8:D8"/>
    <mergeCell ref="C9:D9"/>
    <mergeCell ref="C11:D11"/>
    <mergeCell ref="C10:D10"/>
  </mergeCells>
  <phoneticPr fontId="4" type="noConversion"/>
  <hyperlinks>
    <hyperlink ref="B39" r:id="rId1" xr:uid="{262C17A4-4441-41D5-BE52-89D61D7CC79E}"/>
    <hyperlink ref="B5" r:id="rId2" xr:uid="{AF0C5927-6748-4133-B269-37A8BED64864}"/>
    <hyperlink ref="B60" r:id="rId3" xr:uid="{9EE11251-D4A3-47FB-B775-0E672FA49FB6}"/>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F955-5BCD-43A8-BABF-DD72AD5BDE28}">
  <dimension ref="B3:G20"/>
  <sheetViews>
    <sheetView workbookViewId="0">
      <selection activeCell="I29" sqref="I29"/>
    </sheetView>
  </sheetViews>
  <sheetFormatPr defaultRowHeight="15" x14ac:dyDescent="0.25"/>
  <cols>
    <col min="1" max="1" width="9.140625" style="1"/>
    <col min="2" max="2" width="30.42578125" style="1" customWidth="1"/>
    <col min="3" max="13" width="9.140625" style="1"/>
    <col min="14" max="14" width="13.7109375" style="1" customWidth="1"/>
    <col min="15" max="16384" width="9.140625" style="1"/>
  </cols>
  <sheetData>
    <row r="3" spans="2:7" ht="26.25" x14ac:dyDescent="0.4">
      <c r="B3" s="113" t="s">
        <v>236</v>
      </c>
    </row>
    <row r="5" spans="2:7" x14ac:dyDescent="0.25">
      <c r="B5" s="56" t="s">
        <v>235</v>
      </c>
    </row>
    <row r="6" spans="2:7" ht="15.75" thickBot="1" x14ac:dyDescent="0.3"/>
    <row r="7" spans="2:7" ht="27" customHeight="1" thickBot="1" x14ac:dyDescent="0.3">
      <c r="B7" s="42"/>
      <c r="C7" s="32" t="s">
        <v>52</v>
      </c>
      <c r="D7" s="32" t="s">
        <v>53</v>
      </c>
      <c r="E7" s="32" t="s">
        <v>54</v>
      </c>
      <c r="F7" s="32" t="s">
        <v>55</v>
      </c>
      <c r="G7" s="32" t="s">
        <v>56</v>
      </c>
    </row>
    <row r="8" spans="2:7" ht="27" customHeight="1" thickBot="1" x14ac:dyDescent="0.3">
      <c r="B8" s="43" t="s">
        <v>0</v>
      </c>
      <c r="C8" s="105">
        <v>42.85</v>
      </c>
      <c r="D8" s="105">
        <f>+C8</f>
        <v>42.85</v>
      </c>
      <c r="E8" s="105">
        <f t="shared" ref="E8:G8" si="0">+D8</f>
        <v>42.85</v>
      </c>
      <c r="F8" s="105">
        <f t="shared" si="0"/>
        <v>42.85</v>
      </c>
      <c r="G8" s="105">
        <f t="shared" si="0"/>
        <v>42.85</v>
      </c>
    </row>
    <row r="9" spans="2:7" ht="27" customHeight="1" thickBot="1" x14ac:dyDescent="0.3">
      <c r="B9" s="43" t="s">
        <v>138</v>
      </c>
      <c r="C9" s="105">
        <v>34.5</v>
      </c>
      <c r="D9" s="105">
        <v>34.5</v>
      </c>
      <c r="E9" s="105">
        <v>36.65</v>
      </c>
      <c r="F9" s="105">
        <v>38.700000000000003</v>
      </c>
      <c r="G9" s="105">
        <v>41.1</v>
      </c>
    </row>
    <row r="10" spans="2:7" ht="27" customHeight="1" thickBot="1" x14ac:dyDescent="0.3">
      <c r="B10" s="43"/>
      <c r="C10" s="38">
        <f>SUM(C8:C9)</f>
        <v>77.349999999999994</v>
      </c>
      <c r="D10" s="38">
        <f t="shared" ref="D10:G10" si="1">SUM(D8:D9)</f>
        <v>77.349999999999994</v>
      </c>
      <c r="E10" s="38">
        <f t="shared" si="1"/>
        <v>79.5</v>
      </c>
      <c r="F10" s="38">
        <f t="shared" si="1"/>
        <v>81.550000000000011</v>
      </c>
      <c r="G10" s="38">
        <f t="shared" si="1"/>
        <v>83.95</v>
      </c>
    </row>
    <row r="11" spans="2:7" x14ac:dyDescent="0.25">
      <c r="C11" s="53"/>
      <c r="D11" s="53"/>
      <c r="E11" s="53"/>
      <c r="F11" s="53"/>
      <c r="G11" s="53"/>
    </row>
    <row r="12" spans="2:7" x14ac:dyDescent="0.25">
      <c r="B12" s="56" t="s">
        <v>139</v>
      </c>
      <c r="C12" s="53"/>
      <c r="D12" s="53"/>
      <c r="E12" s="53"/>
      <c r="F12" s="53"/>
      <c r="G12" s="53"/>
    </row>
    <row r="13" spans="2:7" ht="15.75" thickBot="1" x14ac:dyDescent="0.3">
      <c r="B13" s="54"/>
      <c r="C13" s="53"/>
      <c r="D13" s="53"/>
      <c r="E13" s="53"/>
      <c r="F13" s="53"/>
      <c r="G13" s="53"/>
    </row>
    <row r="14" spans="2:7" ht="27" customHeight="1" thickBot="1" x14ac:dyDescent="0.3">
      <c r="B14" s="42" t="s">
        <v>137</v>
      </c>
      <c r="C14" s="32" t="s">
        <v>52</v>
      </c>
      <c r="D14" s="32" t="s">
        <v>53</v>
      </c>
      <c r="E14" s="32" t="s">
        <v>54</v>
      </c>
      <c r="F14" s="32" t="s">
        <v>55</v>
      </c>
      <c r="G14" s="32" t="s">
        <v>56</v>
      </c>
    </row>
    <row r="15" spans="2:7" ht="27" customHeight="1" thickBot="1" x14ac:dyDescent="0.3">
      <c r="B15" s="55">
        <v>0.5</v>
      </c>
      <c r="C15" s="38">
        <f>+(C$8*0.5)+(C$10*0.5)</f>
        <v>60.099999999999994</v>
      </c>
      <c r="D15" s="38">
        <f t="shared" ref="D15:G15" si="2">+(D$8*0.5)+(D$10*0.5)</f>
        <v>60.099999999999994</v>
      </c>
      <c r="E15" s="38">
        <f t="shared" si="2"/>
        <v>61.174999999999997</v>
      </c>
      <c r="F15" s="38">
        <f t="shared" si="2"/>
        <v>62.2</v>
      </c>
      <c r="G15" s="38">
        <f t="shared" si="2"/>
        <v>63.400000000000006</v>
      </c>
    </row>
    <row r="16" spans="2:7" ht="27" customHeight="1" thickBot="1" x14ac:dyDescent="0.3">
      <c r="B16" s="55">
        <v>0.6</v>
      </c>
      <c r="C16" s="38">
        <f>+(C$8*0.4)+(C$10*0.6)</f>
        <v>63.55</v>
      </c>
      <c r="D16" s="38">
        <f t="shared" ref="D16:G16" si="3">+(D$8*0.4)+(D$10*0.6)</f>
        <v>63.55</v>
      </c>
      <c r="E16" s="38">
        <f t="shared" si="3"/>
        <v>64.84</v>
      </c>
      <c r="F16" s="38">
        <f t="shared" si="3"/>
        <v>66.070000000000007</v>
      </c>
      <c r="G16" s="38">
        <f t="shared" si="3"/>
        <v>67.509999999999991</v>
      </c>
    </row>
    <row r="17" spans="2:7" ht="27" customHeight="1" thickBot="1" x14ac:dyDescent="0.3">
      <c r="B17" s="55">
        <v>0.7</v>
      </c>
      <c r="C17" s="38">
        <f>+(C$8*0.3)+(C$10*0.7)</f>
        <v>67</v>
      </c>
      <c r="D17" s="38">
        <f t="shared" ref="D17:G17" si="4">+(D$8*0.3)+(D$10*0.7)</f>
        <v>67</v>
      </c>
      <c r="E17" s="38">
        <f t="shared" si="4"/>
        <v>68.504999999999995</v>
      </c>
      <c r="F17" s="38">
        <f t="shared" si="4"/>
        <v>69.94</v>
      </c>
      <c r="G17" s="38">
        <f t="shared" si="4"/>
        <v>71.62</v>
      </c>
    </row>
    <row r="18" spans="2:7" ht="27" customHeight="1" thickBot="1" x14ac:dyDescent="0.3">
      <c r="B18" s="55">
        <v>0.8</v>
      </c>
      <c r="C18" s="38">
        <f>+(C$8*0.2)+(C$10*0.8)</f>
        <v>70.449999999999989</v>
      </c>
      <c r="D18" s="38">
        <f t="shared" ref="D18:G18" si="5">+(D$8*0.2)+(D$10*0.8)</f>
        <v>70.449999999999989</v>
      </c>
      <c r="E18" s="38">
        <f t="shared" si="5"/>
        <v>72.17</v>
      </c>
      <c r="F18" s="38">
        <f t="shared" si="5"/>
        <v>73.81</v>
      </c>
      <c r="G18" s="38">
        <f t="shared" si="5"/>
        <v>75.730000000000018</v>
      </c>
    </row>
    <row r="19" spans="2:7" ht="27" customHeight="1" thickBot="1" x14ac:dyDescent="0.3">
      <c r="B19" s="55">
        <v>0.9</v>
      </c>
      <c r="C19" s="38">
        <f>+(C$8*0.1)+(C$10*0.9)</f>
        <v>73.899999999999991</v>
      </c>
      <c r="D19" s="38">
        <f t="shared" ref="D19:G19" si="6">+(D$8*0.1)+(D$10*0.9)</f>
        <v>73.899999999999991</v>
      </c>
      <c r="E19" s="38">
        <f t="shared" si="6"/>
        <v>75.834999999999994</v>
      </c>
      <c r="F19" s="38">
        <f t="shared" si="6"/>
        <v>77.680000000000007</v>
      </c>
      <c r="G19" s="38">
        <f t="shared" si="6"/>
        <v>79.84</v>
      </c>
    </row>
    <row r="20" spans="2:7" ht="27" customHeight="1" thickBot="1" x14ac:dyDescent="0.3">
      <c r="B20" s="55">
        <v>1</v>
      </c>
      <c r="C20" s="38">
        <f>+C10</f>
        <v>77.349999999999994</v>
      </c>
      <c r="D20" s="38">
        <f t="shared" ref="D20:G20" si="7">+D10</f>
        <v>77.349999999999994</v>
      </c>
      <c r="E20" s="38">
        <f t="shared" si="7"/>
        <v>79.5</v>
      </c>
      <c r="F20" s="38">
        <f t="shared" si="7"/>
        <v>81.550000000000011</v>
      </c>
      <c r="G20" s="38">
        <f t="shared" si="7"/>
        <v>83.95</v>
      </c>
    </row>
  </sheetData>
  <sheetProtection algorithmName="SHA-512" hashValue="1krfwknMd9RWOhHlExHALLoR0TVSEdRl642b+zQmvLN3DZB5XnCpxzsDGbNB5myU8rceqBjVFQCZt5a3uSRARw==" saltValue="AWCHJCKgl2msQeyW09NNWg==" spinCount="100000" sheet="1" objects="1" scenarios="1"/>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Compare</vt:lpstr>
      <vt:lpstr>Practice Budget</vt:lpstr>
      <vt:lpstr>Doctor salary build</vt:lpstr>
      <vt:lpstr>Practice staff salary build</vt:lpstr>
      <vt:lpstr>PIP  WIP</vt:lpstr>
      <vt:lpstr>Avg BB 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Lok</dc:creator>
  <cp:lastModifiedBy>Michel Lok</cp:lastModifiedBy>
  <dcterms:created xsi:type="dcterms:W3CDTF">2022-09-14T22:56:45Z</dcterms:created>
  <dcterms:modified xsi:type="dcterms:W3CDTF">2024-07-17T23:15:50Z</dcterms:modified>
</cp:coreProperties>
</file>